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طلبات" sheetId="1" state="visible" r:id="rId1"/>
    <sheet xmlns:r="http://schemas.openxmlformats.org/officeDocument/2006/relationships" name="مقدّمو الطلبات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0" hidden="1">'سجل الطلبات'!$A$4:$Q$204</definedName>
    <definedName name="_xlnm._FilterDatabase" localSheetId="1" hidden="1">'مقدّمو الطلبات'!$A$4:$L$204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5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6" customWidth="1" min="2" max="2"/>
    <col width="11" customWidth="1" min="3" max="3"/>
    <col width="12" customWidth="1" min="4" max="4"/>
    <col width="20" customWidth="1" min="5" max="5"/>
    <col width="14" customWidth="1" min="6" max="6"/>
    <col width="11" customWidth="1" min="7" max="7"/>
    <col width="11" customWidth="1" min="8" max="8"/>
    <col width="8" customWidth="1" min="9" max="9"/>
    <col width="13" customWidth="1" min="10" max="10"/>
    <col width="30" customWidth="1" min="11" max="11"/>
    <col width="22" customWidth="1" min="12" max="12"/>
    <col width="32" customWidth="1" min="13" max="13"/>
    <col width="13" customWidth="1" min="14" max="14"/>
    <col width="12" customWidth="1" min="15" max="15"/>
    <col width="16" customWidth="1" min="16" max="16"/>
    <col width="40" customWidth="1" min="17" max="17"/>
    <col hidden="1" width="13" customWidth="1" min="18" max="18"/>
  </cols>
  <sheetData>
    <row r="1">
      <c r="A1" s="1" t="inlineStr">
        <is>
          <t>سجل طلبات الميزات</t>
        </is>
      </c>
    </row>
    <row r="2">
      <c r="A2" s="2" t="inlineStr">
        <is>
          <t>صف واحد لكل طلب. املأ الأعمدة البيضاء؛ أما الأعمدة المظللة فتُملأ تلقائياً. اختر «التكرار» و«الأثر على العمل» و«الحل البديل» و«تقدير الجهد» و«القرار» و«المسؤول» من القوائم.</t>
        </is>
      </c>
    </row>
    <row r="3">
      <c r="A3" s="2" t="inlineStr">
        <is>
          <t>الدرجة: 10 أو أكثر مرشّح للتخطيط، ومن 6 إلى 9 يبقى قيد الدراسة، و5 أو أقل غالباً غير مخطط لها. لا يُغلق الطلب إلا عندما يكون القرار «غير مخطط لها» أو «أُطلقت» ويحصل كل مقدّمي الطلب على الإجابة الخاصة به.</t>
        </is>
      </c>
    </row>
    <row r="4" ht="34" customHeight="1">
      <c r="A4" s="3" t="inlineStr">
        <is>
          <t>عنوان الطلب</t>
        </is>
      </c>
      <c r="B4" s="3" t="inlineStr">
        <is>
          <t>هدف العميل</t>
        </is>
      </c>
      <c r="C4" s="3" t="inlineStr">
        <is>
          <t>مقدّمو الطلب</t>
        </is>
      </c>
      <c r="D4" s="3" t="inlineStr">
        <is>
          <t>التكرار</t>
        </is>
      </c>
      <c r="E4" s="3" t="inlineStr">
        <is>
          <t>الأثر على العمل</t>
        </is>
      </c>
      <c r="F4" s="3" t="inlineStr">
        <is>
          <t>الإيراد المعرّض للخطر (سنوياً)</t>
        </is>
      </c>
      <c r="G4" s="3" t="inlineStr">
        <is>
          <t>الحل البديل</t>
        </is>
      </c>
      <c r="H4" s="3" t="inlineStr">
        <is>
          <t>تقدير الجهد</t>
        </is>
      </c>
      <c r="I4" s="3" t="inlineStr">
        <is>
          <t>الدرجة</t>
        </is>
      </c>
      <c r="J4" s="3" t="inlineStr">
        <is>
          <t>القرار</t>
        </is>
      </c>
      <c r="K4" s="3" t="inlineStr">
        <is>
          <t>حدود الوعد</t>
        </is>
      </c>
      <c r="L4" s="3" t="inlineStr">
        <is>
          <t>المسؤول</t>
        </is>
      </c>
      <c r="M4" s="3" t="inlineStr">
        <is>
          <t>الإجراء التالي</t>
        </is>
      </c>
      <c r="N4" s="3" t="inlineStr">
        <is>
          <t>تاريخ آخر رد</t>
        </is>
      </c>
      <c r="O4" s="3" t="inlineStr">
        <is>
          <t>مقدّمو الطلب المنتظرون</t>
        </is>
      </c>
      <c r="P4" s="3" t="inlineStr">
        <is>
          <t>حالة إغلاق الحلقة</t>
        </is>
      </c>
      <c r="Q4" s="3" t="inlineStr">
        <is>
          <t>ملاحظات</t>
        </is>
      </c>
    </row>
    <row r="5">
      <c r="A5" s="4" t="inlineStr">
        <is>
          <t>قائمة الانتظار التلقائية</t>
        </is>
      </c>
      <c r="B5" s="5" t="inlineStr">
        <is>
          <t>ملء مكان أُلغي حجزه في حصة ممتلئة دون أن يراسل الموظفون قائمة الانتظار</t>
        </is>
      </c>
      <c r="C5" s="6">
        <f>IF($A5="","",COUNTIF('مقدّمو الطلبات'!$A$5:$A$204,$A5))</f>
        <v/>
      </c>
      <c r="D5" s="7" t="inlineStr">
        <is>
          <t>يومياً</t>
        </is>
      </c>
      <c r="E5" s="5" t="inlineStr">
        <is>
          <t>مرتفع: مغادرة أو خسارة بيع</t>
        </is>
      </c>
      <c r="F5" s="8">
        <f>IF($A5="","",SUMIFS('مقدّمو الطلبات'!$F$5:$F$204,'مقدّمو الطلبات'!$A$5:$A$204,$A5,'مقدّمو الطلبات'!$G$5:$G$204,"نعم"))</f>
        <v/>
      </c>
      <c r="G5" s="9" t="inlineStr">
        <is>
          <t>جزئي</t>
        </is>
      </c>
      <c r="H5" s="9" t="inlineStr">
        <is>
          <t>M: أسابيع</t>
        </is>
      </c>
      <c r="I5" s="10">
        <f>IF(OR($A5="",$D5="",$E5="",$G5="",$H5=""),"",MIN($C5,'القوائم'!$N$5)+IFERROR(VLOOKUP($D5,'القوائم'!$A$5:$B$8,2,FALSE),0)+IFERROR(VLOOKUP($E5,'القوائم'!$C$5:$D$7,2,FALSE),0)+IF($F5&gt;='القوائم'!$N$6,2,IF($F5&gt;0,1,0))+IFERROR(VLOOKUP($G5,'القوائم'!$E$5:$F$7,2,FALSE),0)+IFERROR(VLOOKUP($H5,'القوائم'!$G$5:$H$7,2,FALSE),0))</f>
        <v/>
      </c>
      <c r="J5" s="7" t="inlineStr">
        <is>
          <t>أُطلقت</t>
        </is>
      </c>
      <c r="K5" s="5" t="inlineStr">
        <is>
          <t>أُطلقت في 5 أكتوبر: قل إنها متاحة وكيف تُستخدم</t>
        </is>
      </c>
      <c r="L5" s="5" t="inlineStr">
        <is>
          <t>إينيس مولينا، مسؤولة الدعم</t>
        </is>
      </c>
      <c r="M5" s="5" t="inlineStr">
        <is>
          <t>لا شيء: أُغلق في 6 أكتوبر</t>
        </is>
      </c>
      <c r="N5" s="11">
        <f>IF($A5="","",IF(COUNTIFS('مقدّمو الطلبات'!$A$5:$A$204,$A5,'مقدّمو الطلبات'!$J$5:$J$204,"&lt;&gt;")=0,"",SUMPRODUCT(MAX(('مقدّمو الطلبات'!$A$5:$A$204=$A5)*'مقدّمو الطلبات'!$J$5:$J$204))))</f>
        <v/>
      </c>
      <c r="O5" s="6">
        <f>IF($A5="","",COUNTIFS('مقدّمو الطلبات'!$A$5:$A$204,$A5,'مقدّمو الطلبات'!$K$5:$K$204,"لا"))</f>
        <v/>
      </c>
      <c r="P5" s="12">
        <f>IF($A5="","",IF($C5=0,"بلا مقدّمي طلب",IF($J5="","بلا قرار",IF($O5&gt;0,"ردود مستحقة",IF(OR($J5="غير مخطط لها",$J5="أُطلقت"),"مغلق","مفتوح")))))</f>
        <v/>
      </c>
      <c r="Q5" s="5" t="inlineStr">
        <is>
          <t>مخطط لها في مراجعة 25 أغسطس؛ رسالة الإطلاق إلى السبعة جميعاً في 5 و6 أكتوبر؛ حُدّثت قاعدة المعرفة في 5 أكتوبر</t>
        </is>
      </c>
      <c r="R5">
        <f>IF(ISNUMBER($I5),$I5+(1000-ROW())/100000,"")</f>
        <v/>
      </c>
    </row>
    <row r="6">
      <c r="A6" s="4" t="inlineStr">
        <is>
          <t>تصدير الحجوزات أسبوعياً</t>
        </is>
      </c>
      <c r="B6" s="5" t="inlineStr">
        <is>
          <t>إرسال الحضور الأسبوعي إلى المحاسب دون نسخ الحجوزات يدوياً</t>
        </is>
      </c>
      <c r="C6" s="6">
        <f>IF($A6="","",COUNTIF('مقدّمو الطلبات'!$A$5:$A$204,$A6))</f>
        <v/>
      </c>
      <c r="D6" s="7" t="inlineStr">
        <is>
          <t>أسبوعياً</t>
        </is>
      </c>
      <c r="E6" s="5" t="inlineStr">
        <is>
          <t>متوسط: وقت ضائع</t>
        </is>
      </c>
      <c r="F6" s="8">
        <f>IF($A6="","",SUMIFS('مقدّمو الطلبات'!$F$5:$F$204,'مقدّمو الطلبات'!$A$5:$A$204,$A6,'مقدّمو الطلبات'!$G$5:$G$204,"نعم"))</f>
        <v/>
      </c>
      <c r="G6" s="9" t="inlineStr">
        <is>
          <t>نعم</t>
        </is>
      </c>
      <c r="H6" s="9" t="inlineStr">
        <is>
          <t>M: أسابيع</t>
        </is>
      </c>
      <c r="I6" s="10">
        <f>IF(OR($A6="",$D6="",$E6="",$G6="",$H6=""),"",MIN($C6,'القوائم'!$N$5)+IFERROR(VLOOKUP($D6,'القوائم'!$A$5:$B$8,2,FALSE),0)+IFERROR(VLOOKUP($E6,'القوائم'!$C$5:$D$7,2,FALSE),0)+IF($F6&gt;='القوائم'!$N$6,2,IF($F6&gt;0,1,0))+IFERROR(VLOOKUP($G6,'القوائم'!$E$5:$F$7,2,FALSE),0)+IFERROR(VLOOKUP($H6,'القوائم'!$G$5:$H$7,2,FALSE),0))</f>
        <v/>
      </c>
      <c r="J6" s="7" t="inlineStr">
        <is>
          <t>غير مخطط لها</t>
        </is>
      </c>
      <c r="K6" s="5" t="inlineStr">
        <is>
          <t>غير مخطط لها: قل لا وأرسل خطوات تصدير CSV</t>
        </is>
      </c>
      <c r="L6" s="5" t="inlineStr">
        <is>
          <t>رافي مينون، الدعم</t>
        </is>
      </c>
      <c r="M6" s="5" t="inlineStr">
        <is>
          <t>أرسل رسالة «غير مخطط لها» إلى إليف كايا بحلول 9 أكتوبر</t>
        </is>
      </c>
      <c r="N6" s="11">
        <f>IF($A6="","",IF(COUNTIFS('مقدّمو الطلبات'!$A$5:$A$204,$A6,'مقدّمو الطلبات'!$J$5:$J$204,"&lt;&gt;")=0,"",SUMPRODUCT(MAX(('مقدّمو الطلبات'!$A$5:$A$204=$A6)*'مقدّمو الطلبات'!$J$5:$J$204))))</f>
        <v/>
      </c>
      <c r="O6" s="6">
        <f>IF($A6="","",COUNTIFS('مقدّمو الطلبات'!$A$5:$A$204,$A6,'مقدّمو الطلبات'!$K$5:$K$204,"لا"))</f>
        <v/>
      </c>
      <c r="P6" s="12">
        <f>IF($A6="","",IF($C6=0,"بلا مقدّمي طلب",IF($J6="","بلا قرار",IF($O6&gt;0,"ردود مستحقة",IF(OR($J6="غير مخطط لها",$J6="أُطلقت"),"مغلق","مفتوح")))))</f>
        <v/>
      </c>
      <c r="Q6" s="5" t="inlineStr">
        <is>
          <t>تقرر في مراجعة 29 سبتمبر؛ «التقارير» ثم «تصدير CSV» يحقق الهدف في نحو 5 دقائق</t>
        </is>
      </c>
      <c r="R6">
        <f>IF(ISNUMBER($I6),$I6+(1000-ROW())/100000,"")</f>
        <v/>
      </c>
    </row>
    <row r="7">
      <c r="A7" s="4" t="inlineStr">
        <is>
          <t>تذكير بالحصص برسائل نصية</t>
        </is>
      </c>
      <c r="B7" s="5" t="inlineStr">
        <is>
          <t>تقليل الغياب بتذكير الأعضاء برسالة نصية قبل الحصة</t>
        </is>
      </c>
      <c r="C7" s="6">
        <f>IF($A7="","",COUNTIF('مقدّمو الطلبات'!$A$5:$A$204,$A7))</f>
        <v/>
      </c>
      <c r="D7" s="7" t="inlineStr">
        <is>
          <t>يومياً</t>
        </is>
      </c>
      <c r="E7" s="5" t="inlineStr">
        <is>
          <t>متوسط: وقت ضائع</t>
        </is>
      </c>
      <c r="F7" s="8">
        <f>IF($A7="","",SUMIFS('مقدّمو الطلبات'!$F$5:$F$204,'مقدّمو الطلبات'!$A$5:$A$204,$A7,'مقدّمو الطلبات'!$G$5:$G$204,"نعم"))</f>
        <v/>
      </c>
      <c r="G7" s="9" t="inlineStr">
        <is>
          <t>جزئي</t>
        </is>
      </c>
      <c r="H7" s="9" t="inlineStr">
        <is>
          <t>L: أشهر</t>
        </is>
      </c>
      <c r="I7" s="10">
        <f>IF(OR($A7="",$D7="",$E7="",$G7="",$H7=""),"",MIN($C7,'القوائم'!$N$5)+IFERROR(VLOOKUP($D7,'القوائم'!$A$5:$B$8,2,FALSE),0)+IFERROR(VLOOKUP($E7,'القوائم'!$C$5:$D$7,2,FALSE),0)+IF($F7&gt;='القوائم'!$N$6,2,IF($F7&gt;0,1,0))+IFERROR(VLOOKUP($G7,'القوائم'!$E$5:$F$7,2,FALSE),0)+IFERROR(VLOOKUP($H7,'القوائم'!$G$5:$H$7,2,FALSE),0))</f>
        <v/>
      </c>
      <c r="J7" s="7" t="inlineStr">
        <is>
          <t>قيد الدراسة</t>
        </is>
      </c>
      <c r="K7" s="5" t="inlineStr">
        <is>
          <t>قيد الدراسة: بلا توقيت</t>
        </is>
      </c>
      <c r="L7" s="5" t="inlineStr">
        <is>
          <t>ثيو غرانت، المؤسس</t>
        </is>
      </c>
      <c r="M7" s="5" t="inlineStr">
        <is>
          <t>اعرضه في مراجعة 27 أكتوبر مع تكلفة الرسائل النصية شهرياً</t>
        </is>
      </c>
      <c r="N7" s="11">
        <f>IF($A7="","",IF(COUNTIFS('مقدّمو الطلبات'!$A$5:$A$204,$A7,'مقدّمو الطلبات'!$J$5:$J$204,"&lt;&gt;")=0,"",SUMPRODUCT(MAX(('مقدّمو الطلبات'!$A$5:$A$204=$A7)*'مقدّمو الطلبات'!$J$5:$J$204))))</f>
        <v/>
      </c>
      <c r="O7" s="6">
        <f>IF($A7="","",COUNTIFS('مقدّمو الطلبات'!$A$5:$A$204,$A7,'مقدّمو الطلبات'!$K$5:$K$204,"لا"))</f>
        <v/>
      </c>
      <c r="P7" s="12">
        <f>IF($A7="","",IF($C7=0,"بلا مقدّمي طلب",IF($J7="","بلا قرار",IF($O7&gt;0,"ردود مستحقة",IF(OR($J7="غير مخطط لها",$J7="أُطلقت"),"مغلق","مفتوح")))))</f>
        <v/>
      </c>
      <c r="Q7" s="5" t="inlineStr">
        <is>
          <t>التذكير بالبريد موجود؛ قد يغادر استوديو واحد عند التجديد</t>
        </is>
      </c>
      <c r="R7">
        <f>IF(ISNUMBER($I7),$I7+(1000-ROW())/100000,"")</f>
        <v/>
      </c>
    </row>
    <row r="8">
      <c r="A8" s="4" t="inlineStr">
        <is>
          <t>حسابات العائلة</t>
        </is>
      </c>
      <c r="B8" s="5" t="inlineStr">
        <is>
          <t>السماح لأحد الوالدين بحجز حصص لطفلين من حساب واحد</t>
        </is>
      </c>
      <c r="C8" s="6">
        <f>IF($A8="","",COUNTIF('مقدّمو الطلبات'!$A$5:$A$204,$A8))</f>
        <v/>
      </c>
      <c r="D8" s="7" t="inlineStr">
        <is>
          <t>أسبوعياً</t>
        </is>
      </c>
      <c r="E8" s="5" t="inlineStr">
        <is>
          <t>مرتفع: مغادرة أو خسارة بيع</t>
        </is>
      </c>
      <c r="F8" s="8">
        <f>IF($A8="","",SUMIFS('مقدّمو الطلبات'!$F$5:$F$204,'مقدّمو الطلبات'!$A$5:$A$204,$A8,'مقدّمو الطلبات'!$G$5:$G$204,"نعم"))</f>
        <v/>
      </c>
      <c r="G8" s="9" t="inlineStr">
        <is>
          <t>لا</t>
        </is>
      </c>
      <c r="H8" s="9" t="inlineStr">
        <is>
          <t>L: أشهر</t>
        </is>
      </c>
      <c r="I8" s="10">
        <f>IF(OR($A8="",$D8="",$E8="",$G8="",$H8=""),"",MIN($C8,'القوائم'!$N$5)+IFERROR(VLOOKUP($D8,'القوائم'!$A$5:$B$8,2,FALSE),0)+IFERROR(VLOOKUP($E8,'القوائم'!$C$5:$D$7,2,FALSE),0)+IF($F8&gt;='القوائم'!$N$6,2,IF($F8&gt;0,1,0))+IFERROR(VLOOKUP($G8,'القوائم'!$E$5:$F$7,2,FALSE),0)+IFERROR(VLOOKUP($H8,'القوائم'!$G$5:$H$7,2,FALSE),0))</f>
        <v/>
      </c>
      <c r="J8" s="7" t="inlineStr">
        <is>
          <t>قيد الدراسة</t>
        </is>
      </c>
      <c r="K8" s="5" t="inlineStr">
        <is>
          <t>قيد الدراسة: بلا توقيت. يجب ألا تعد المبيعات بها لإغلاق صفقة</t>
        </is>
      </c>
      <c r="L8" s="5" t="inlineStr">
        <is>
          <t>ثيو غرانت، المؤسس</t>
        </is>
      </c>
      <c r="M8" s="5" t="inlineStr">
        <is>
          <t>اتصل بـLittle Movers Gym بشأن هدف العميل بحلول 14 أكتوبر</t>
        </is>
      </c>
      <c r="N8" s="11">
        <f>IF($A8="","",IF(COUNTIFS('مقدّمو الطلبات'!$A$5:$A$204,$A8,'مقدّمو الطلبات'!$J$5:$J$204,"&lt;&gt;")=0,"",SUMPRODUCT(MAX(('مقدّمو الطلبات'!$A$5:$A$204=$A8)*'مقدّمو الطلبات'!$J$5:$J$204))))</f>
        <v/>
      </c>
      <c r="O8" s="6">
        <f>IF($A8="","",COUNTIFS('مقدّمو الطلبات'!$A$5:$A$204,$A8,'مقدّمو الطلبات'!$K$5:$K$204,"لا"))</f>
        <v/>
      </c>
      <c r="P8" s="12">
        <f>IF($A8="","",IF($C8=0,"بلا مقدّمي طلب",IF($J8="","بلا قرار",IF($O8&gt;0,"ردود مستحقة",IF(OR($J8="غير مخطط لها",$J8="أُطلقت"),"مغلق","مفتوح")))))</f>
        <v/>
      </c>
      <c r="Q8" s="5" t="inlineStr">
        <is>
          <t>تعطّل صفقة جديدة واحدة قيمتها $1,788 سنوياً</t>
        </is>
      </c>
      <c r="R8">
        <f>IF(ISNUMBER($I8),$I8+(1000-ROW())/100000,"")</f>
        <v/>
      </c>
    </row>
    <row r="9">
      <c r="A9" s="4" t="inlineStr">
        <is>
          <t>ألوان العلامة التجارية كاملة في صفحة الحجز</t>
        </is>
      </c>
      <c r="B9" s="5" t="inlineStr">
        <is>
          <t>مطابقة صفحة الحجز لهوية الاستوديو</t>
        </is>
      </c>
      <c r="C9" s="6">
        <f>IF($A9="","",COUNTIF('مقدّمو الطلبات'!$A$5:$A$204,$A9))</f>
        <v/>
      </c>
      <c r="D9" s="7" t="inlineStr">
        <is>
          <t>نادراً</t>
        </is>
      </c>
      <c r="E9" s="5" t="inlineStr">
        <is>
          <t>منخفض: من الكماليات</t>
        </is>
      </c>
      <c r="F9" s="8">
        <f>IF($A9="","",SUMIFS('مقدّمو الطلبات'!$F$5:$F$204,'مقدّمو الطلبات'!$A$5:$A$204,$A9,'مقدّمو الطلبات'!$G$5:$G$204,"نعم"))</f>
        <v/>
      </c>
      <c r="G9" s="9" t="inlineStr">
        <is>
          <t>جزئي</t>
        </is>
      </c>
      <c r="H9" s="9" t="inlineStr">
        <is>
          <t>M: أسابيع</t>
        </is>
      </c>
      <c r="I9" s="10">
        <f>IF(OR($A9="",$D9="",$E9="",$G9="",$H9=""),"",MIN($C9,'القوائم'!$N$5)+IFERROR(VLOOKUP($D9,'القوائم'!$A$5:$B$8,2,FALSE),0)+IFERROR(VLOOKUP($E9,'القوائم'!$C$5:$D$7,2,FALSE),0)+IF($F9&gt;='القوائم'!$N$6,2,IF($F9&gt;0,1,0))+IFERROR(VLOOKUP($G9,'القوائم'!$E$5:$F$7,2,FALSE),0)+IFERROR(VLOOKUP($H9,'القوائم'!$G$5:$H$7,2,FALSE),0))</f>
        <v/>
      </c>
      <c r="J9" s="7" t="inlineStr">
        <is>
          <t>غير مخطط لها</t>
        </is>
      </c>
      <c r="K9" s="5" t="inlineStr">
        <is>
          <t>غير مخطط لها: أشر إلى إعدادات الشعار ولون التمييز</t>
        </is>
      </c>
      <c r="L9" s="5" t="inlineStr">
        <is>
          <t>رافي مينون، الدعم</t>
        </is>
      </c>
      <c r="M9" s="5" t="inlineStr">
        <is>
          <t>لا شيء: أُغلق في 30 سبتمبر</t>
        </is>
      </c>
      <c r="N9" s="11">
        <f>IF($A9="","",IF(COUNTIFS('مقدّمو الطلبات'!$A$5:$A$204,$A9,'مقدّمو الطلبات'!$J$5:$J$204,"&lt;&gt;")=0,"",SUMPRODUCT(MAX(('مقدّمو الطلبات'!$A$5:$A$204=$A9)*'مقدّمو الطلبات'!$J$5:$J$204))))</f>
        <v/>
      </c>
      <c r="O9" s="6">
        <f>IF($A9="","",COUNTIFS('مقدّمو الطلبات'!$A$5:$A$204,$A9,'مقدّمو الطلبات'!$K$5:$K$204,"لا"))</f>
        <v/>
      </c>
      <c r="P9" s="12">
        <f>IF($A9="","",IF($C9=0,"بلا مقدّمي طلب",IF($J9="","بلا قرار",IF($O9&gt;0,"ردود مستحقة",IF(OR($J9="غير مخطط لها",$J9="أُطلقت"),"مغلق","مفتوح")))))</f>
        <v/>
      </c>
      <c r="Q9" s="5" t="inlineStr">
        <is>
          <t>الشعار ولون تمييز واحد يعملان بالفعل</t>
        </is>
      </c>
      <c r="R9">
        <f>IF(ISNUMBER($I9),$I9+(1000-ROW())/100000,"")</f>
        <v/>
      </c>
    </row>
    <row r="10">
      <c r="A10" s="4" t="inlineStr">
        <is>
          <t>تقرير أجور المدربين</t>
        </is>
      </c>
      <c r="B10" s="5" t="inlineStr">
        <is>
          <t>دفع أجور المدربين حسب الحصص دون العدّ يدوياً</t>
        </is>
      </c>
      <c r="C10" s="6">
        <f>IF($A10="","",COUNTIF('مقدّمو الطلبات'!$A$5:$A$204,$A10))</f>
        <v/>
      </c>
      <c r="D10" s="7" t="inlineStr">
        <is>
          <t>شهرياً</t>
        </is>
      </c>
      <c r="E10" s="5" t="inlineStr">
        <is>
          <t>متوسط: وقت ضائع</t>
        </is>
      </c>
      <c r="F10" s="8">
        <f>IF($A10="","",SUMIFS('مقدّمو الطلبات'!$F$5:$F$204,'مقدّمو الطلبات'!$A$5:$A$204,$A10,'مقدّمو الطلبات'!$G$5:$G$204,"نعم"))</f>
        <v/>
      </c>
      <c r="G10" s="9" t="inlineStr">
        <is>
          <t>جزئي</t>
        </is>
      </c>
      <c r="H10" s="9" t="inlineStr">
        <is>
          <t>S: أيام</t>
        </is>
      </c>
      <c r="I10" s="10">
        <f>IF(OR($A10="",$D10="",$E10="",$G10="",$H10=""),"",MIN($C10,'القوائم'!$N$5)+IFERROR(VLOOKUP($D10,'القوائم'!$A$5:$B$8,2,FALSE),0)+IFERROR(VLOOKUP($E10,'القوائم'!$C$5:$D$7,2,FALSE),0)+IF($F10&gt;='القوائم'!$N$6,2,IF($F10&gt;0,1,0))+IFERROR(VLOOKUP($G10,'القوائم'!$E$5:$F$7,2,FALSE),0)+IFERROR(VLOOKUP($H10,'القوائم'!$G$5:$H$7,2,FALSE),0))</f>
        <v/>
      </c>
      <c r="J10" s="7" t="inlineStr">
        <is>
          <t>مخطط لها</t>
        </is>
      </c>
      <c r="K10" s="5" t="inlineStr">
        <is>
          <t>مخطط لها: لا تاريخ قبل الإطلاق</t>
        </is>
      </c>
      <c r="L10" s="5" t="inlineStr">
        <is>
          <t>إينيس مولينا، مسؤولة الدعم</t>
        </is>
      </c>
      <c r="M10" s="5" t="inlineStr">
        <is>
          <t>أرسل رسالة «مخطط لها» إلى توم بيكر بحلول 9 أكتوبر</t>
        </is>
      </c>
      <c r="N10" s="11">
        <f>IF($A10="","",IF(COUNTIFS('مقدّمو الطلبات'!$A$5:$A$204,$A10,'مقدّمو الطلبات'!$J$5:$J$204,"&lt;&gt;")=0,"",SUMPRODUCT(MAX(('مقدّمو الطلبات'!$A$5:$A$204=$A10)*'مقدّمو الطلبات'!$J$5:$J$204))))</f>
        <v/>
      </c>
      <c r="O10" s="6">
        <f>IF($A10="","",COUNTIFS('مقدّمو الطلبات'!$A$5:$A$204,$A10,'مقدّمو الطلبات'!$K$5:$K$204,"لا"))</f>
        <v/>
      </c>
      <c r="P10" s="12">
        <f>IF($A10="","",IF($C10=0,"بلا مقدّمي طلب",IF($J10="","بلا قرار",IF($O10&gt;0,"ردود مستحقة",IF(OR($J10="غير مخطط لها",$J10="أُطلقت"),"مغلق","مفتوح")))))</f>
        <v/>
      </c>
      <c r="Q10" s="5" t="inlineStr">
        <is>
          <t>تقرير الحضور المصفّى حسب المدرب يعمل، مع العدّ اليدوي</t>
        </is>
      </c>
      <c r="R10">
        <f>IF(ISNUMBER($I10),$I10+(1000-ROW())/100000,"")</f>
        <v/>
      </c>
    </row>
    <row r="11">
      <c r="A11" s="4" t="inlineStr">
        <is>
          <t>بطاقة العضوية في محفظة الهاتف</t>
        </is>
      </c>
      <c r="B11" s="5" t="inlineStr">
        <is>
          <t>تسجيل الحضور في مكتب الاستقبال دون فتح التطبيق</t>
        </is>
      </c>
      <c r="C11" s="6">
        <f>IF($A11="","",COUNTIF('مقدّمو الطلبات'!$A$5:$A$204,$A11))</f>
        <v/>
      </c>
      <c r="D11" s="7" t="inlineStr">
        <is>
          <t>يومياً</t>
        </is>
      </c>
      <c r="E11" s="5" t="inlineStr">
        <is>
          <t>منخفض: من الكماليات</t>
        </is>
      </c>
      <c r="F11" s="8">
        <f>IF($A11="","",SUMIFS('مقدّمو الطلبات'!$F$5:$F$204,'مقدّمو الطلبات'!$A$5:$A$204,$A11,'مقدّمو الطلبات'!$G$5:$G$204,"نعم"))</f>
        <v/>
      </c>
      <c r="G11" s="9" t="inlineStr">
        <is>
          <t>نعم</t>
        </is>
      </c>
      <c r="H11" s="9" t="inlineStr">
        <is>
          <t>M: أسابيع</t>
        </is>
      </c>
      <c r="I11" s="10">
        <f>IF(OR($A11="",$D11="",$E11="",$G11="",$H11=""),"",MIN($C11,'القوائم'!$N$5)+IFERROR(VLOOKUP($D11,'القوائم'!$A$5:$B$8,2,FALSE),0)+IFERROR(VLOOKUP($E11,'القوائم'!$C$5:$D$7,2,FALSE),0)+IF($F11&gt;='القوائم'!$N$6,2,IF($F11&gt;0,1,0))+IFERROR(VLOOKUP($G11,'القوائم'!$E$5:$F$7,2,FALSE),0)+IFERROR(VLOOKUP($H11,'القوائم'!$G$5:$H$7,2,FALSE),0))</f>
        <v/>
      </c>
      <c r="J11" s="7" t="inlineStr">
        <is>
          <t>قيد الدراسة</t>
        </is>
      </c>
      <c r="K11" s="5" t="inlineStr">
        <is>
          <t>قيد الدراسة: بلا توقيت</t>
        </is>
      </c>
      <c r="L11" s="5" t="inlineStr">
        <is>
          <t>رافي مينون، الدعم</t>
        </is>
      </c>
      <c r="M11" s="5" t="inlineStr">
        <is>
          <t>أرسل الرد الأول إلى بن أورتيز بحلول 8 أكتوبر</t>
        </is>
      </c>
      <c r="N11" s="11">
        <f>IF($A11="","",IF(COUNTIFS('مقدّمو الطلبات'!$A$5:$A$204,$A11,'مقدّمو الطلبات'!$J$5:$J$204,"&lt;&gt;")=0,"",SUMPRODUCT(MAX(('مقدّمو الطلبات'!$A$5:$A$204=$A11)*'مقدّمو الطلبات'!$J$5:$J$204))))</f>
        <v/>
      </c>
      <c r="O11" s="6">
        <f>IF($A11="","",COUNTIFS('مقدّمو الطلبات'!$A$5:$A$204,$A11,'مقدّمو الطلبات'!$K$5:$K$204,"لا"))</f>
        <v/>
      </c>
      <c r="P11" s="12">
        <f>IF($A11="","",IF($C11=0,"بلا مقدّمي طلب",IF($J11="","بلا قرار",IF($O11&gt;0,"ردود مستحقة",IF(OR($J11="غير مخطط لها",$J11="أُطلقت"),"مغلق","مفتوح")))))</f>
        <v/>
      </c>
      <c r="Q11" s="5" t="inlineStr">
        <is>
          <t>جديد في 7 أكتوبر؛ تسجيل الحضور برمز QR في التطبيق يعمل بالفعل</t>
        </is>
      </c>
      <c r="R11">
        <f>IF(ISNUMBER($I11),$I11+(1000-ROW())/100000,"")</f>
        <v/>
      </c>
    </row>
    <row r="12">
      <c r="A12" s="4" t="n"/>
      <c r="B12" s="5" t="n"/>
      <c r="C12" s="6">
        <f>IF($A12="","",COUNTIF('مقدّمو الطلبات'!$A$5:$A$204,$A12))</f>
        <v/>
      </c>
      <c r="D12" s="7" t="n"/>
      <c r="E12" s="5" t="n"/>
      <c r="F12" s="8">
        <f>IF($A12="","",SUMIFS('مقدّمو الطلبات'!$F$5:$F$204,'مقدّمو الطلبات'!$A$5:$A$204,$A12,'مقدّمو الطلبات'!$G$5:$G$204,"نعم"))</f>
        <v/>
      </c>
      <c r="G12" s="9" t="n"/>
      <c r="H12" s="9" t="n"/>
      <c r="I12" s="10">
        <f>IF(OR($A12="",$D12="",$E12="",$G12="",$H12=""),"",MIN($C12,'القوائم'!$N$5)+IFERROR(VLOOKUP($D12,'القوائم'!$A$5:$B$8,2,FALSE),0)+IFERROR(VLOOKUP($E12,'القوائم'!$C$5:$D$7,2,FALSE),0)+IF($F12&gt;='القوائم'!$N$6,2,IF($F12&gt;0,1,0))+IFERROR(VLOOKUP($G12,'القوائم'!$E$5:$F$7,2,FALSE),0)+IFERROR(VLOOKUP($H12,'القوائم'!$G$5:$H$7,2,FALSE),0))</f>
        <v/>
      </c>
      <c r="J12" s="7" t="n"/>
      <c r="K12" s="5" t="n"/>
      <c r="L12" s="5" t="n"/>
      <c r="M12" s="5" t="n"/>
      <c r="N12" s="11">
        <f>IF($A12="","",IF(COUNTIFS('مقدّمو الطلبات'!$A$5:$A$204,$A12,'مقدّمو الطلبات'!$J$5:$J$204,"&lt;&gt;")=0,"",SUMPRODUCT(MAX(('مقدّمو الطلبات'!$A$5:$A$204=$A12)*'مقدّمو الطلبات'!$J$5:$J$204))))</f>
        <v/>
      </c>
      <c r="O12" s="6">
        <f>IF($A12="","",COUNTIFS('مقدّمو الطلبات'!$A$5:$A$204,$A12,'مقدّمو الطلبات'!$K$5:$K$204,"لا"))</f>
        <v/>
      </c>
      <c r="P12" s="12">
        <f>IF($A12="","",IF($C12=0,"بلا مقدّمي طلب",IF($J12="","بلا قرار",IF($O12&gt;0,"ردود مستحقة",IF(OR($J12="غير مخطط لها",$J12="أُطلقت"),"مغلق","مفتوح")))))</f>
        <v/>
      </c>
      <c r="Q12" s="5" t="n"/>
      <c r="R12">
        <f>IF(ISNUMBER($I12),$I12+(1000-ROW())/100000,"")</f>
        <v/>
      </c>
    </row>
    <row r="13">
      <c r="A13" s="4" t="n"/>
      <c r="B13" s="5" t="n"/>
      <c r="C13" s="6">
        <f>IF($A13="","",COUNTIF('مقدّمو الطلبات'!$A$5:$A$204,$A13))</f>
        <v/>
      </c>
      <c r="D13" s="7" t="n"/>
      <c r="E13" s="5" t="n"/>
      <c r="F13" s="8">
        <f>IF($A13="","",SUMIFS('مقدّمو الطلبات'!$F$5:$F$204,'مقدّمو الطلبات'!$A$5:$A$204,$A13,'مقدّمو الطلبات'!$G$5:$G$204,"نعم"))</f>
        <v/>
      </c>
      <c r="G13" s="9" t="n"/>
      <c r="H13" s="9" t="n"/>
      <c r="I13" s="10">
        <f>IF(OR($A13="",$D13="",$E13="",$G13="",$H13=""),"",MIN($C13,'القوائم'!$N$5)+IFERROR(VLOOKUP($D13,'القوائم'!$A$5:$B$8,2,FALSE),0)+IFERROR(VLOOKUP($E13,'القوائم'!$C$5:$D$7,2,FALSE),0)+IF($F13&gt;='القوائم'!$N$6,2,IF($F13&gt;0,1,0))+IFERROR(VLOOKUP($G13,'القوائم'!$E$5:$F$7,2,FALSE),0)+IFERROR(VLOOKUP($H13,'القوائم'!$G$5:$H$7,2,FALSE),0))</f>
        <v/>
      </c>
      <c r="J13" s="7" t="n"/>
      <c r="K13" s="5" t="n"/>
      <c r="L13" s="5" t="n"/>
      <c r="M13" s="5" t="n"/>
      <c r="N13" s="11">
        <f>IF($A13="","",IF(COUNTIFS('مقدّمو الطلبات'!$A$5:$A$204,$A13,'مقدّمو الطلبات'!$J$5:$J$204,"&lt;&gt;")=0,"",SUMPRODUCT(MAX(('مقدّمو الطلبات'!$A$5:$A$204=$A13)*'مقدّمو الطلبات'!$J$5:$J$204))))</f>
        <v/>
      </c>
      <c r="O13" s="6">
        <f>IF($A13="","",COUNTIFS('مقدّمو الطلبات'!$A$5:$A$204,$A13,'مقدّمو الطلبات'!$K$5:$K$204,"لا"))</f>
        <v/>
      </c>
      <c r="P13" s="12">
        <f>IF($A13="","",IF($C13=0,"بلا مقدّمي طلب",IF($J13="","بلا قرار",IF($O13&gt;0,"ردود مستحقة",IF(OR($J13="غير مخطط لها",$J13="أُطلقت"),"مغلق","مفتوح")))))</f>
        <v/>
      </c>
      <c r="Q13" s="5" t="n"/>
      <c r="R13">
        <f>IF(ISNUMBER($I13),$I13+(1000-ROW())/100000,"")</f>
        <v/>
      </c>
    </row>
    <row r="14">
      <c r="A14" s="4" t="n"/>
      <c r="B14" s="5" t="n"/>
      <c r="C14" s="6">
        <f>IF($A14="","",COUNTIF('مقدّمو الطلبات'!$A$5:$A$204,$A14))</f>
        <v/>
      </c>
      <c r="D14" s="7" t="n"/>
      <c r="E14" s="5" t="n"/>
      <c r="F14" s="8">
        <f>IF($A14="","",SUMIFS('مقدّمو الطلبات'!$F$5:$F$204,'مقدّمو الطلبات'!$A$5:$A$204,$A14,'مقدّمو الطلبات'!$G$5:$G$204,"نعم"))</f>
        <v/>
      </c>
      <c r="G14" s="9" t="n"/>
      <c r="H14" s="9" t="n"/>
      <c r="I14" s="10">
        <f>IF(OR($A14="",$D14="",$E14="",$G14="",$H14=""),"",MIN($C14,'القوائم'!$N$5)+IFERROR(VLOOKUP($D14,'القوائم'!$A$5:$B$8,2,FALSE),0)+IFERROR(VLOOKUP($E14,'القوائم'!$C$5:$D$7,2,FALSE),0)+IF($F14&gt;='القوائم'!$N$6,2,IF($F14&gt;0,1,0))+IFERROR(VLOOKUP($G14,'القوائم'!$E$5:$F$7,2,FALSE),0)+IFERROR(VLOOKUP($H14,'القوائم'!$G$5:$H$7,2,FALSE),0))</f>
        <v/>
      </c>
      <c r="J14" s="7" t="n"/>
      <c r="K14" s="5" t="n"/>
      <c r="L14" s="5" t="n"/>
      <c r="M14" s="5" t="n"/>
      <c r="N14" s="11">
        <f>IF($A14="","",IF(COUNTIFS('مقدّمو الطلبات'!$A$5:$A$204,$A14,'مقدّمو الطلبات'!$J$5:$J$204,"&lt;&gt;")=0,"",SUMPRODUCT(MAX(('مقدّمو الطلبات'!$A$5:$A$204=$A14)*'مقدّمو الطلبات'!$J$5:$J$204))))</f>
        <v/>
      </c>
      <c r="O14" s="6">
        <f>IF($A14="","",COUNTIFS('مقدّمو الطلبات'!$A$5:$A$204,$A14,'مقدّمو الطلبات'!$K$5:$K$204,"لا"))</f>
        <v/>
      </c>
      <c r="P14" s="12">
        <f>IF($A14="","",IF($C14=0,"بلا مقدّمي طلب",IF($J14="","بلا قرار",IF($O14&gt;0,"ردود مستحقة",IF(OR($J14="غير مخطط لها",$J14="أُطلقت"),"مغلق","مفتوح")))))</f>
        <v/>
      </c>
      <c r="Q14" s="5" t="n"/>
      <c r="R14">
        <f>IF(ISNUMBER($I14),$I14+(1000-ROW())/100000,"")</f>
        <v/>
      </c>
    </row>
    <row r="15">
      <c r="A15" s="4" t="n"/>
      <c r="B15" s="5" t="n"/>
      <c r="C15" s="6">
        <f>IF($A15="","",COUNTIF('مقدّمو الطلبات'!$A$5:$A$204,$A15))</f>
        <v/>
      </c>
      <c r="D15" s="7" t="n"/>
      <c r="E15" s="5" t="n"/>
      <c r="F15" s="8">
        <f>IF($A15="","",SUMIFS('مقدّمو الطلبات'!$F$5:$F$204,'مقدّمو الطلبات'!$A$5:$A$204,$A15,'مقدّمو الطلبات'!$G$5:$G$204,"نعم"))</f>
        <v/>
      </c>
      <c r="G15" s="9" t="n"/>
      <c r="H15" s="9" t="n"/>
      <c r="I15" s="10">
        <f>IF(OR($A15="",$D15="",$E15="",$G15="",$H15=""),"",MIN($C15,'القوائم'!$N$5)+IFERROR(VLOOKUP($D15,'القوائم'!$A$5:$B$8,2,FALSE),0)+IFERROR(VLOOKUP($E15,'القوائم'!$C$5:$D$7,2,FALSE),0)+IF($F15&gt;='القوائم'!$N$6,2,IF($F15&gt;0,1,0))+IFERROR(VLOOKUP($G15,'القوائم'!$E$5:$F$7,2,FALSE),0)+IFERROR(VLOOKUP($H15,'القوائم'!$G$5:$H$7,2,FALSE),0))</f>
        <v/>
      </c>
      <c r="J15" s="7" t="n"/>
      <c r="K15" s="5" t="n"/>
      <c r="L15" s="5" t="n"/>
      <c r="M15" s="5" t="n"/>
      <c r="N15" s="11">
        <f>IF($A15="","",IF(COUNTIFS('مقدّمو الطلبات'!$A$5:$A$204,$A15,'مقدّمو الطلبات'!$J$5:$J$204,"&lt;&gt;")=0,"",SUMPRODUCT(MAX(('مقدّمو الطلبات'!$A$5:$A$204=$A15)*'مقدّمو الطلبات'!$J$5:$J$204))))</f>
        <v/>
      </c>
      <c r="O15" s="6">
        <f>IF($A15="","",COUNTIFS('مقدّمو الطلبات'!$A$5:$A$204,$A15,'مقدّمو الطلبات'!$K$5:$K$204,"لا"))</f>
        <v/>
      </c>
      <c r="P15" s="12">
        <f>IF($A15="","",IF($C15=0,"بلا مقدّمي طلب",IF($J15="","بلا قرار",IF($O15&gt;0,"ردود مستحقة",IF(OR($J15="غير مخطط لها",$J15="أُطلقت"),"مغلق","مفتوح")))))</f>
        <v/>
      </c>
      <c r="Q15" s="5" t="n"/>
      <c r="R15">
        <f>IF(ISNUMBER($I15),$I15+(1000-ROW())/100000,"")</f>
        <v/>
      </c>
    </row>
    <row r="16">
      <c r="A16" s="4" t="n"/>
      <c r="B16" s="5" t="n"/>
      <c r="C16" s="6">
        <f>IF($A16="","",COUNTIF('مقدّمو الطلبات'!$A$5:$A$204,$A16))</f>
        <v/>
      </c>
      <c r="D16" s="7" t="n"/>
      <c r="E16" s="5" t="n"/>
      <c r="F16" s="8">
        <f>IF($A16="","",SUMIFS('مقدّمو الطلبات'!$F$5:$F$204,'مقدّمو الطلبات'!$A$5:$A$204,$A16,'مقدّمو الطلبات'!$G$5:$G$204,"نعم"))</f>
        <v/>
      </c>
      <c r="G16" s="9" t="n"/>
      <c r="H16" s="9" t="n"/>
      <c r="I16" s="10">
        <f>IF(OR($A16="",$D16="",$E16="",$G16="",$H16=""),"",MIN($C16,'القوائم'!$N$5)+IFERROR(VLOOKUP($D16,'القوائم'!$A$5:$B$8,2,FALSE),0)+IFERROR(VLOOKUP($E16,'القوائم'!$C$5:$D$7,2,FALSE),0)+IF($F16&gt;='القوائم'!$N$6,2,IF($F16&gt;0,1,0))+IFERROR(VLOOKUP($G16,'القوائم'!$E$5:$F$7,2,FALSE),0)+IFERROR(VLOOKUP($H16,'القوائم'!$G$5:$H$7,2,FALSE),0))</f>
        <v/>
      </c>
      <c r="J16" s="7" t="n"/>
      <c r="K16" s="5" t="n"/>
      <c r="L16" s="5" t="n"/>
      <c r="M16" s="5" t="n"/>
      <c r="N16" s="11">
        <f>IF($A16="","",IF(COUNTIFS('مقدّمو الطلبات'!$A$5:$A$204,$A16,'مقدّمو الطلبات'!$J$5:$J$204,"&lt;&gt;")=0,"",SUMPRODUCT(MAX(('مقدّمو الطلبات'!$A$5:$A$204=$A16)*'مقدّمو الطلبات'!$J$5:$J$204))))</f>
        <v/>
      </c>
      <c r="O16" s="6">
        <f>IF($A16="","",COUNTIFS('مقدّمو الطلبات'!$A$5:$A$204,$A16,'مقدّمو الطلبات'!$K$5:$K$204,"لا"))</f>
        <v/>
      </c>
      <c r="P16" s="12">
        <f>IF($A16="","",IF($C16=0,"بلا مقدّمي طلب",IF($J16="","بلا قرار",IF($O16&gt;0,"ردود مستحقة",IF(OR($J16="غير مخطط لها",$J16="أُطلقت"),"مغلق","مفتوح")))))</f>
        <v/>
      </c>
      <c r="Q16" s="5" t="n"/>
      <c r="R16">
        <f>IF(ISNUMBER($I16),$I16+(1000-ROW())/100000,"")</f>
        <v/>
      </c>
    </row>
    <row r="17">
      <c r="A17" s="4" t="n"/>
      <c r="B17" s="5" t="n"/>
      <c r="C17" s="6">
        <f>IF($A17="","",COUNTIF('مقدّمو الطلبات'!$A$5:$A$204,$A17))</f>
        <v/>
      </c>
      <c r="D17" s="7" t="n"/>
      <c r="E17" s="5" t="n"/>
      <c r="F17" s="8">
        <f>IF($A17="","",SUMIFS('مقدّمو الطلبات'!$F$5:$F$204,'مقدّمو الطلبات'!$A$5:$A$204,$A17,'مقدّمو الطلبات'!$G$5:$G$204,"نعم"))</f>
        <v/>
      </c>
      <c r="G17" s="9" t="n"/>
      <c r="H17" s="9" t="n"/>
      <c r="I17" s="10">
        <f>IF(OR($A17="",$D17="",$E17="",$G17="",$H17=""),"",MIN($C17,'القوائم'!$N$5)+IFERROR(VLOOKUP($D17,'القوائم'!$A$5:$B$8,2,FALSE),0)+IFERROR(VLOOKUP($E17,'القوائم'!$C$5:$D$7,2,FALSE),0)+IF($F17&gt;='القوائم'!$N$6,2,IF($F17&gt;0,1,0))+IFERROR(VLOOKUP($G17,'القوائم'!$E$5:$F$7,2,FALSE),0)+IFERROR(VLOOKUP($H17,'القوائم'!$G$5:$H$7,2,FALSE),0))</f>
        <v/>
      </c>
      <c r="J17" s="7" t="n"/>
      <c r="K17" s="5" t="n"/>
      <c r="L17" s="5" t="n"/>
      <c r="M17" s="5" t="n"/>
      <c r="N17" s="11">
        <f>IF($A17="","",IF(COUNTIFS('مقدّمو الطلبات'!$A$5:$A$204,$A17,'مقدّمو الطلبات'!$J$5:$J$204,"&lt;&gt;")=0,"",SUMPRODUCT(MAX(('مقدّمو الطلبات'!$A$5:$A$204=$A17)*'مقدّمو الطلبات'!$J$5:$J$204))))</f>
        <v/>
      </c>
      <c r="O17" s="6">
        <f>IF($A17="","",COUNTIFS('مقدّمو الطلبات'!$A$5:$A$204,$A17,'مقدّمو الطلبات'!$K$5:$K$204,"لا"))</f>
        <v/>
      </c>
      <c r="P17" s="12">
        <f>IF($A17="","",IF($C17=0,"بلا مقدّمي طلب",IF($J17="","بلا قرار",IF($O17&gt;0,"ردود مستحقة",IF(OR($J17="غير مخطط لها",$J17="أُطلقت"),"مغلق","مفتوح")))))</f>
        <v/>
      </c>
      <c r="Q17" s="5" t="n"/>
      <c r="R17">
        <f>IF(ISNUMBER($I17),$I17+(1000-ROW())/100000,"")</f>
        <v/>
      </c>
    </row>
    <row r="18">
      <c r="A18" s="4" t="n"/>
      <c r="B18" s="5" t="n"/>
      <c r="C18" s="6">
        <f>IF($A18="","",COUNTIF('مقدّمو الطلبات'!$A$5:$A$204,$A18))</f>
        <v/>
      </c>
      <c r="D18" s="7" t="n"/>
      <c r="E18" s="5" t="n"/>
      <c r="F18" s="8">
        <f>IF($A18="","",SUMIFS('مقدّمو الطلبات'!$F$5:$F$204,'مقدّمو الطلبات'!$A$5:$A$204,$A18,'مقدّمو الطلبات'!$G$5:$G$204,"نعم"))</f>
        <v/>
      </c>
      <c r="G18" s="9" t="n"/>
      <c r="H18" s="9" t="n"/>
      <c r="I18" s="10">
        <f>IF(OR($A18="",$D18="",$E18="",$G18="",$H18=""),"",MIN($C18,'القوائم'!$N$5)+IFERROR(VLOOKUP($D18,'القوائم'!$A$5:$B$8,2,FALSE),0)+IFERROR(VLOOKUP($E18,'القوائم'!$C$5:$D$7,2,FALSE),0)+IF($F18&gt;='القوائم'!$N$6,2,IF($F18&gt;0,1,0))+IFERROR(VLOOKUP($G18,'القوائم'!$E$5:$F$7,2,FALSE),0)+IFERROR(VLOOKUP($H18,'القوائم'!$G$5:$H$7,2,FALSE),0))</f>
        <v/>
      </c>
      <c r="J18" s="7" t="n"/>
      <c r="K18" s="5" t="n"/>
      <c r="L18" s="5" t="n"/>
      <c r="M18" s="5" t="n"/>
      <c r="N18" s="11">
        <f>IF($A18="","",IF(COUNTIFS('مقدّمو الطلبات'!$A$5:$A$204,$A18,'مقدّمو الطلبات'!$J$5:$J$204,"&lt;&gt;")=0,"",SUMPRODUCT(MAX(('مقدّمو الطلبات'!$A$5:$A$204=$A18)*'مقدّمو الطلبات'!$J$5:$J$204))))</f>
        <v/>
      </c>
      <c r="O18" s="6">
        <f>IF($A18="","",COUNTIFS('مقدّمو الطلبات'!$A$5:$A$204,$A18,'مقدّمو الطلبات'!$K$5:$K$204,"لا"))</f>
        <v/>
      </c>
      <c r="P18" s="12">
        <f>IF($A18="","",IF($C18=0,"بلا مقدّمي طلب",IF($J18="","بلا قرار",IF($O18&gt;0,"ردود مستحقة",IF(OR($J18="غير مخطط لها",$J18="أُطلقت"),"مغلق","مفتوح")))))</f>
        <v/>
      </c>
      <c r="Q18" s="5" t="n"/>
      <c r="R18">
        <f>IF(ISNUMBER($I18),$I18+(1000-ROW())/100000,"")</f>
        <v/>
      </c>
    </row>
    <row r="19">
      <c r="A19" s="4" t="n"/>
      <c r="B19" s="5" t="n"/>
      <c r="C19" s="6">
        <f>IF($A19="","",COUNTIF('مقدّمو الطلبات'!$A$5:$A$204,$A19))</f>
        <v/>
      </c>
      <c r="D19" s="7" t="n"/>
      <c r="E19" s="5" t="n"/>
      <c r="F19" s="8">
        <f>IF($A19="","",SUMIFS('مقدّمو الطلبات'!$F$5:$F$204,'مقدّمو الطلبات'!$A$5:$A$204,$A19,'مقدّمو الطلبات'!$G$5:$G$204,"نعم"))</f>
        <v/>
      </c>
      <c r="G19" s="9" t="n"/>
      <c r="H19" s="9" t="n"/>
      <c r="I19" s="10">
        <f>IF(OR($A19="",$D19="",$E19="",$G19="",$H19=""),"",MIN($C19,'القوائم'!$N$5)+IFERROR(VLOOKUP($D19,'القوائم'!$A$5:$B$8,2,FALSE),0)+IFERROR(VLOOKUP($E19,'القوائم'!$C$5:$D$7,2,FALSE),0)+IF($F19&gt;='القوائم'!$N$6,2,IF($F19&gt;0,1,0))+IFERROR(VLOOKUP($G19,'القوائم'!$E$5:$F$7,2,FALSE),0)+IFERROR(VLOOKUP($H19,'القوائم'!$G$5:$H$7,2,FALSE),0))</f>
        <v/>
      </c>
      <c r="J19" s="7" t="n"/>
      <c r="K19" s="5" t="n"/>
      <c r="L19" s="5" t="n"/>
      <c r="M19" s="5" t="n"/>
      <c r="N19" s="11">
        <f>IF($A19="","",IF(COUNTIFS('مقدّمو الطلبات'!$A$5:$A$204,$A19,'مقدّمو الطلبات'!$J$5:$J$204,"&lt;&gt;")=0,"",SUMPRODUCT(MAX(('مقدّمو الطلبات'!$A$5:$A$204=$A19)*'مقدّمو الطلبات'!$J$5:$J$204))))</f>
        <v/>
      </c>
      <c r="O19" s="6">
        <f>IF($A19="","",COUNTIFS('مقدّمو الطلبات'!$A$5:$A$204,$A19,'مقدّمو الطلبات'!$K$5:$K$204,"لا"))</f>
        <v/>
      </c>
      <c r="P19" s="12">
        <f>IF($A19="","",IF($C19=0,"بلا مقدّمي طلب",IF($J19="","بلا قرار",IF($O19&gt;0,"ردود مستحقة",IF(OR($J19="غير مخطط لها",$J19="أُطلقت"),"مغلق","مفتوح")))))</f>
        <v/>
      </c>
      <c r="Q19" s="5" t="n"/>
      <c r="R19">
        <f>IF(ISNUMBER($I19),$I19+(1000-ROW())/100000,"")</f>
        <v/>
      </c>
    </row>
    <row r="20">
      <c r="A20" s="4" t="n"/>
      <c r="B20" s="5" t="n"/>
      <c r="C20" s="6">
        <f>IF($A20="","",COUNTIF('مقدّمو الطلبات'!$A$5:$A$204,$A20))</f>
        <v/>
      </c>
      <c r="D20" s="7" t="n"/>
      <c r="E20" s="5" t="n"/>
      <c r="F20" s="8">
        <f>IF($A20="","",SUMIFS('مقدّمو الطلبات'!$F$5:$F$204,'مقدّمو الطلبات'!$A$5:$A$204,$A20,'مقدّمو الطلبات'!$G$5:$G$204,"نعم"))</f>
        <v/>
      </c>
      <c r="G20" s="9" t="n"/>
      <c r="H20" s="9" t="n"/>
      <c r="I20" s="10">
        <f>IF(OR($A20="",$D20="",$E20="",$G20="",$H20=""),"",MIN($C20,'القوائم'!$N$5)+IFERROR(VLOOKUP($D20,'القوائم'!$A$5:$B$8,2,FALSE),0)+IFERROR(VLOOKUP($E20,'القوائم'!$C$5:$D$7,2,FALSE),0)+IF($F20&gt;='القوائم'!$N$6,2,IF($F20&gt;0,1,0))+IFERROR(VLOOKUP($G20,'القوائم'!$E$5:$F$7,2,FALSE),0)+IFERROR(VLOOKUP($H20,'القوائم'!$G$5:$H$7,2,FALSE),0))</f>
        <v/>
      </c>
      <c r="J20" s="7" t="n"/>
      <c r="K20" s="5" t="n"/>
      <c r="L20" s="5" t="n"/>
      <c r="M20" s="5" t="n"/>
      <c r="N20" s="11">
        <f>IF($A20="","",IF(COUNTIFS('مقدّمو الطلبات'!$A$5:$A$204,$A20,'مقدّمو الطلبات'!$J$5:$J$204,"&lt;&gt;")=0,"",SUMPRODUCT(MAX(('مقدّمو الطلبات'!$A$5:$A$204=$A20)*'مقدّمو الطلبات'!$J$5:$J$204))))</f>
        <v/>
      </c>
      <c r="O20" s="6">
        <f>IF($A20="","",COUNTIFS('مقدّمو الطلبات'!$A$5:$A$204,$A20,'مقدّمو الطلبات'!$K$5:$K$204,"لا"))</f>
        <v/>
      </c>
      <c r="P20" s="12">
        <f>IF($A20="","",IF($C20=0,"بلا مقدّمي طلب",IF($J20="","بلا قرار",IF($O20&gt;0,"ردود مستحقة",IF(OR($J20="غير مخطط لها",$J20="أُطلقت"),"مغلق","مفتوح")))))</f>
        <v/>
      </c>
      <c r="Q20" s="5" t="n"/>
      <c r="R20">
        <f>IF(ISNUMBER($I20),$I20+(1000-ROW())/100000,"")</f>
        <v/>
      </c>
    </row>
    <row r="21">
      <c r="A21" s="4" t="n"/>
      <c r="B21" s="5" t="n"/>
      <c r="C21" s="6">
        <f>IF($A21="","",COUNTIF('مقدّمو الطلبات'!$A$5:$A$204,$A21))</f>
        <v/>
      </c>
      <c r="D21" s="7" t="n"/>
      <c r="E21" s="5" t="n"/>
      <c r="F21" s="8">
        <f>IF($A21="","",SUMIFS('مقدّمو الطلبات'!$F$5:$F$204,'مقدّمو الطلبات'!$A$5:$A$204,$A21,'مقدّمو الطلبات'!$G$5:$G$204,"نعم"))</f>
        <v/>
      </c>
      <c r="G21" s="9" t="n"/>
      <c r="H21" s="9" t="n"/>
      <c r="I21" s="10">
        <f>IF(OR($A21="",$D21="",$E21="",$G21="",$H21=""),"",MIN($C21,'القوائم'!$N$5)+IFERROR(VLOOKUP($D21,'القوائم'!$A$5:$B$8,2,FALSE),0)+IFERROR(VLOOKUP($E21,'القوائم'!$C$5:$D$7,2,FALSE),0)+IF($F21&gt;='القوائم'!$N$6,2,IF($F21&gt;0,1,0))+IFERROR(VLOOKUP($G21,'القوائم'!$E$5:$F$7,2,FALSE),0)+IFERROR(VLOOKUP($H21,'القوائم'!$G$5:$H$7,2,FALSE),0))</f>
        <v/>
      </c>
      <c r="J21" s="7" t="n"/>
      <c r="K21" s="5" t="n"/>
      <c r="L21" s="5" t="n"/>
      <c r="M21" s="5" t="n"/>
      <c r="N21" s="11">
        <f>IF($A21="","",IF(COUNTIFS('مقدّمو الطلبات'!$A$5:$A$204,$A21,'مقدّمو الطلبات'!$J$5:$J$204,"&lt;&gt;")=0,"",SUMPRODUCT(MAX(('مقدّمو الطلبات'!$A$5:$A$204=$A21)*'مقدّمو الطلبات'!$J$5:$J$204))))</f>
        <v/>
      </c>
      <c r="O21" s="6">
        <f>IF($A21="","",COUNTIFS('مقدّمو الطلبات'!$A$5:$A$204,$A21,'مقدّمو الطلبات'!$K$5:$K$204,"لا"))</f>
        <v/>
      </c>
      <c r="P21" s="12">
        <f>IF($A21="","",IF($C21=0,"بلا مقدّمي طلب",IF($J21="","بلا قرار",IF($O21&gt;0,"ردود مستحقة",IF(OR($J21="غير مخطط لها",$J21="أُطلقت"),"مغلق","مفتوح")))))</f>
        <v/>
      </c>
      <c r="Q21" s="5" t="n"/>
      <c r="R21">
        <f>IF(ISNUMBER($I21),$I21+(1000-ROW())/100000,"")</f>
        <v/>
      </c>
    </row>
    <row r="22">
      <c r="A22" s="4" t="n"/>
      <c r="B22" s="5" t="n"/>
      <c r="C22" s="6">
        <f>IF($A22="","",COUNTIF('مقدّمو الطلبات'!$A$5:$A$204,$A22))</f>
        <v/>
      </c>
      <c r="D22" s="7" t="n"/>
      <c r="E22" s="5" t="n"/>
      <c r="F22" s="8">
        <f>IF($A22="","",SUMIFS('مقدّمو الطلبات'!$F$5:$F$204,'مقدّمو الطلبات'!$A$5:$A$204,$A22,'مقدّمو الطلبات'!$G$5:$G$204,"نعم"))</f>
        <v/>
      </c>
      <c r="G22" s="9" t="n"/>
      <c r="H22" s="9" t="n"/>
      <c r="I22" s="10">
        <f>IF(OR($A22="",$D22="",$E22="",$G22="",$H22=""),"",MIN($C22,'القوائم'!$N$5)+IFERROR(VLOOKUP($D22,'القوائم'!$A$5:$B$8,2,FALSE),0)+IFERROR(VLOOKUP($E22,'القوائم'!$C$5:$D$7,2,FALSE),0)+IF($F22&gt;='القوائم'!$N$6,2,IF($F22&gt;0,1,0))+IFERROR(VLOOKUP($G22,'القوائم'!$E$5:$F$7,2,FALSE),0)+IFERROR(VLOOKUP($H22,'القوائم'!$G$5:$H$7,2,FALSE),0))</f>
        <v/>
      </c>
      <c r="J22" s="7" t="n"/>
      <c r="K22" s="5" t="n"/>
      <c r="L22" s="5" t="n"/>
      <c r="M22" s="5" t="n"/>
      <c r="N22" s="11">
        <f>IF($A22="","",IF(COUNTIFS('مقدّمو الطلبات'!$A$5:$A$204,$A22,'مقدّمو الطلبات'!$J$5:$J$204,"&lt;&gt;")=0,"",SUMPRODUCT(MAX(('مقدّمو الطلبات'!$A$5:$A$204=$A22)*'مقدّمو الطلبات'!$J$5:$J$204))))</f>
        <v/>
      </c>
      <c r="O22" s="6">
        <f>IF($A22="","",COUNTIFS('مقدّمو الطلبات'!$A$5:$A$204,$A22,'مقدّمو الطلبات'!$K$5:$K$204,"لا"))</f>
        <v/>
      </c>
      <c r="P22" s="12">
        <f>IF($A22="","",IF($C22=0,"بلا مقدّمي طلب",IF($J22="","بلا قرار",IF($O22&gt;0,"ردود مستحقة",IF(OR($J22="غير مخطط لها",$J22="أُطلقت"),"مغلق","مفتوح")))))</f>
        <v/>
      </c>
      <c r="Q22" s="5" t="n"/>
      <c r="R22">
        <f>IF(ISNUMBER($I22),$I22+(1000-ROW())/100000,"")</f>
        <v/>
      </c>
    </row>
    <row r="23">
      <c r="A23" s="4" t="n"/>
      <c r="B23" s="5" t="n"/>
      <c r="C23" s="6">
        <f>IF($A23="","",COUNTIF('مقدّمو الطلبات'!$A$5:$A$204,$A23))</f>
        <v/>
      </c>
      <c r="D23" s="7" t="n"/>
      <c r="E23" s="5" t="n"/>
      <c r="F23" s="8">
        <f>IF($A23="","",SUMIFS('مقدّمو الطلبات'!$F$5:$F$204,'مقدّمو الطلبات'!$A$5:$A$204,$A23,'مقدّمو الطلبات'!$G$5:$G$204,"نعم"))</f>
        <v/>
      </c>
      <c r="G23" s="9" t="n"/>
      <c r="H23" s="9" t="n"/>
      <c r="I23" s="10">
        <f>IF(OR($A23="",$D23="",$E23="",$G23="",$H23=""),"",MIN($C23,'القوائم'!$N$5)+IFERROR(VLOOKUP($D23,'القوائم'!$A$5:$B$8,2,FALSE),0)+IFERROR(VLOOKUP($E23,'القوائم'!$C$5:$D$7,2,FALSE),0)+IF($F23&gt;='القوائم'!$N$6,2,IF($F23&gt;0,1,0))+IFERROR(VLOOKUP($G23,'القوائم'!$E$5:$F$7,2,FALSE),0)+IFERROR(VLOOKUP($H23,'القوائم'!$G$5:$H$7,2,FALSE),0))</f>
        <v/>
      </c>
      <c r="J23" s="7" t="n"/>
      <c r="K23" s="5" t="n"/>
      <c r="L23" s="5" t="n"/>
      <c r="M23" s="5" t="n"/>
      <c r="N23" s="11">
        <f>IF($A23="","",IF(COUNTIFS('مقدّمو الطلبات'!$A$5:$A$204,$A23,'مقدّمو الطلبات'!$J$5:$J$204,"&lt;&gt;")=0,"",SUMPRODUCT(MAX(('مقدّمو الطلبات'!$A$5:$A$204=$A23)*'مقدّمو الطلبات'!$J$5:$J$204))))</f>
        <v/>
      </c>
      <c r="O23" s="6">
        <f>IF($A23="","",COUNTIFS('مقدّمو الطلبات'!$A$5:$A$204,$A23,'مقدّمو الطلبات'!$K$5:$K$204,"لا"))</f>
        <v/>
      </c>
      <c r="P23" s="12">
        <f>IF($A23="","",IF($C23=0,"بلا مقدّمي طلب",IF($J23="","بلا قرار",IF($O23&gt;0,"ردود مستحقة",IF(OR($J23="غير مخطط لها",$J23="أُطلقت"),"مغلق","مفتوح")))))</f>
        <v/>
      </c>
      <c r="Q23" s="5" t="n"/>
      <c r="R23">
        <f>IF(ISNUMBER($I23),$I23+(1000-ROW())/100000,"")</f>
        <v/>
      </c>
    </row>
    <row r="24">
      <c r="A24" s="4" t="n"/>
      <c r="B24" s="5" t="n"/>
      <c r="C24" s="6">
        <f>IF($A24="","",COUNTIF('مقدّمو الطلبات'!$A$5:$A$204,$A24))</f>
        <v/>
      </c>
      <c r="D24" s="7" t="n"/>
      <c r="E24" s="5" t="n"/>
      <c r="F24" s="8">
        <f>IF($A24="","",SUMIFS('مقدّمو الطلبات'!$F$5:$F$204,'مقدّمو الطلبات'!$A$5:$A$204,$A24,'مقدّمو الطلبات'!$G$5:$G$204,"نعم"))</f>
        <v/>
      </c>
      <c r="G24" s="9" t="n"/>
      <c r="H24" s="9" t="n"/>
      <c r="I24" s="10">
        <f>IF(OR($A24="",$D24="",$E24="",$G24="",$H24=""),"",MIN($C24,'القوائم'!$N$5)+IFERROR(VLOOKUP($D24,'القوائم'!$A$5:$B$8,2,FALSE),0)+IFERROR(VLOOKUP($E24,'القوائم'!$C$5:$D$7,2,FALSE),0)+IF($F24&gt;='القوائم'!$N$6,2,IF($F24&gt;0,1,0))+IFERROR(VLOOKUP($G24,'القوائم'!$E$5:$F$7,2,FALSE),0)+IFERROR(VLOOKUP($H24,'القوائم'!$G$5:$H$7,2,FALSE),0))</f>
        <v/>
      </c>
      <c r="J24" s="7" t="n"/>
      <c r="K24" s="5" t="n"/>
      <c r="L24" s="5" t="n"/>
      <c r="M24" s="5" t="n"/>
      <c r="N24" s="11">
        <f>IF($A24="","",IF(COUNTIFS('مقدّمو الطلبات'!$A$5:$A$204,$A24,'مقدّمو الطلبات'!$J$5:$J$204,"&lt;&gt;")=0,"",SUMPRODUCT(MAX(('مقدّمو الطلبات'!$A$5:$A$204=$A24)*'مقدّمو الطلبات'!$J$5:$J$204))))</f>
        <v/>
      </c>
      <c r="O24" s="6">
        <f>IF($A24="","",COUNTIFS('مقدّمو الطلبات'!$A$5:$A$204,$A24,'مقدّمو الطلبات'!$K$5:$K$204,"لا"))</f>
        <v/>
      </c>
      <c r="P24" s="12">
        <f>IF($A24="","",IF($C24=0,"بلا مقدّمي طلب",IF($J24="","بلا قرار",IF($O24&gt;0,"ردود مستحقة",IF(OR($J24="غير مخطط لها",$J24="أُطلقت"),"مغلق","مفتوح")))))</f>
        <v/>
      </c>
      <c r="Q24" s="5" t="n"/>
      <c r="R24">
        <f>IF(ISNUMBER($I24),$I24+(1000-ROW())/100000,"")</f>
        <v/>
      </c>
    </row>
    <row r="25">
      <c r="A25" s="4" t="n"/>
      <c r="B25" s="5" t="n"/>
      <c r="C25" s="6">
        <f>IF($A25="","",COUNTIF('مقدّمو الطلبات'!$A$5:$A$204,$A25))</f>
        <v/>
      </c>
      <c r="D25" s="7" t="n"/>
      <c r="E25" s="5" t="n"/>
      <c r="F25" s="8">
        <f>IF($A25="","",SUMIFS('مقدّمو الطلبات'!$F$5:$F$204,'مقدّمو الطلبات'!$A$5:$A$204,$A25,'مقدّمو الطلبات'!$G$5:$G$204,"نعم"))</f>
        <v/>
      </c>
      <c r="G25" s="9" t="n"/>
      <c r="H25" s="9" t="n"/>
      <c r="I25" s="10">
        <f>IF(OR($A25="",$D25="",$E25="",$G25="",$H25=""),"",MIN($C25,'القوائم'!$N$5)+IFERROR(VLOOKUP($D25,'القوائم'!$A$5:$B$8,2,FALSE),0)+IFERROR(VLOOKUP($E25,'القوائم'!$C$5:$D$7,2,FALSE),0)+IF($F25&gt;='القوائم'!$N$6,2,IF($F25&gt;0,1,0))+IFERROR(VLOOKUP($G25,'القوائم'!$E$5:$F$7,2,FALSE),0)+IFERROR(VLOOKUP($H25,'القوائم'!$G$5:$H$7,2,FALSE),0))</f>
        <v/>
      </c>
      <c r="J25" s="7" t="n"/>
      <c r="K25" s="5" t="n"/>
      <c r="L25" s="5" t="n"/>
      <c r="M25" s="5" t="n"/>
      <c r="N25" s="11">
        <f>IF($A25="","",IF(COUNTIFS('مقدّمو الطلبات'!$A$5:$A$204,$A25,'مقدّمو الطلبات'!$J$5:$J$204,"&lt;&gt;")=0,"",SUMPRODUCT(MAX(('مقدّمو الطلبات'!$A$5:$A$204=$A25)*'مقدّمو الطلبات'!$J$5:$J$204))))</f>
        <v/>
      </c>
      <c r="O25" s="6">
        <f>IF($A25="","",COUNTIFS('مقدّمو الطلبات'!$A$5:$A$204,$A25,'مقدّمو الطلبات'!$K$5:$K$204,"لا"))</f>
        <v/>
      </c>
      <c r="P25" s="12">
        <f>IF($A25="","",IF($C25=0,"بلا مقدّمي طلب",IF($J25="","بلا قرار",IF($O25&gt;0,"ردود مستحقة",IF(OR($J25="غير مخطط لها",$J25="أُطلقت"),"مغلق","مفتوح")))))</f>
        <v/>
      </c>
      <c r="Q25" s="5" t="n"/>
      <c r="R25">
        <f>IF(ISNUMBER($I25),$I25+(1000-ROW())/100000,"")</f>
        <v/>
      </c>
    </row>
    <row r="26">
      <c r="A26" s="4" t="n"/>
      <c r="B26" s="5" t="n"/>
      <c r="C26" s="6">
        <f>IF($A26="","",COUNTIF('مقدّمو الطلبات'!$A$5:$A$204,$A26))</f>
        <v/>
      </c>
      <c r="D26" s="7" t="n"/>
      <c r="E26" s="5" t="n"/>
      <c r="F26" s="8">
        <f>IF($A26="","",SUMIFS('مقدّمو الطلبات'!$F$5:$F$204,'مقدّمو الطلبات'!$A$5:$A$204,$A26,'مقدّمو الطلبات'!$G$5:$G$204,"نعم"))</f>
        <v/>
      </c>
      <c r="G26" s="9" t="n"/>
      <c r="H26" s="9" t="n"/>
      <c r="I26" s="10">
        <f>IF(OR($A26="",$D26="",$E26="",$G26="",$H26=""),"",MIN($C26,'القوائم'!$N$5)+IFERROR(VLOOKUP($D26,'القوائم'!$A$5:$B$8,2,FALSE),0)+IFERROR(VLOOKUP($E26,'القوائم'!$C$5:$D$7,2,FALSE),0)+IF($F26&gt;='القوائم'!$N$6,2,IF($F26&gt;0,1,0))+IFERROR(VLOOKUP($G26,'القوائم'!$E$5:$F$7,2,FALSE),0)+IFERROR(VLOOKUP($H26,'القوائم'!$G$5:$H$7,2,FALSE),0))</f>
        <v/>
      </c>
      <c r="J26" s="7" t="n"/>
      <c r="K26" s="5" t="n"/>
      <c r="L26" s="5" t="n"/>
      <c r="M26" s="5" t="n"/>
      <c r="N26" s="11">
        <f>IF($A26="","",IF(COUNTIFS('مقدّمو الطلبات'!$A$5:$A$204,$A26,'مقدّمو الطلبات'!$J$5:$J$204,"&lt;&gt;")=0,"",SUMPRODUCT(MAX(('مقدّمو الطلبات'!$A$5:$A$204=$A26)*'مقدّمو الطلبات'!$J$5:$J$204))))</f>
        <v/>
      </c>
      <c r="O26" s="6">
        <f>IF($A26="","",COUNTIFS('مقدّمو الطلبات'!$A$5:$A$204,$A26,'مقدّمو الطلبات'!$K$5:$K$204,"لا"))</f>
        <v/>
      </c>
      <c r="P26" s="12">
        <f>IF($A26="","",IF($C26=0,"بلا مقدّمي طلب",IF($J26="","بلا قرار",IF($O26&gt;0,"ردود مستحقة",IF(OR($J26="غير مخطط لها",$J26="أُطلقت"),"مغلق","مفتوح")))))</f>
        <v/>
      </c>
      <c r="Q26" s="5" t="n"/>
      <c r="R26">
        <f>IF(ISNUMBER($I26),$I26+(1000-ROW())/100000,"")</f>
        <v/>
      </c>
    </row>
    <row r="27">
      <c r="A27" s="4" t="n"/>
      <c r="B27" s="5" t="n"/>
      <c r="C27" s="6">
        <f>IF($A27="","",COUNTIF('مقدّمو الطلبات'!$A$5:$A$204,$A27))</f>
        <v/>
      </c>
      <c r="D27" s="7" t="n"/>
      <c r="E27" s="5" t="n"/>
      <c r="F27" s="8">
        <f>IF($A27="","",SUMIFS('مقدّمو الطلبات'!$F$5:$F$204,'مقدّمو الطلبات'!$A$5:$A$204,$A27,'مقدّمو الطلبات'!$G$5:$G$204,"نعم"))</f>
        <v/>
      </c>
      <c r="G27" s="9" t="n"/>
      <c r="H27" s="9" t="n"/>
      <c r="I27" s="10">
        <f>IF(OR($A27="",$D27="",$E27="",$G27="",$H27=""),"",MIN($C27,'القوائم'!$N$5)+IFERROR(VLOOKUP($D27,'القوائم'!$A$5:$B$8,2,FALSE),0)+IFERROR(VLOOKUP($E27,'القوائم'!$C$5:$D$7,2,FALSE),0)+IF($F27&gt;='القوائم'!$N$6,2,IF($F27&gt;0,1,0))+IFERROR(VLOOKUP($G27,'القوائم'!$E$5:$F$7,2,FALSE),0)+IFERROR(VLOOKUP($H27,'القوائم'!$G$5:$H$7,2,FALSE),0))</f>
        <v/>
      </c>
      <c r="J27" s="7" t="n"/>
      <c r="K27" s="5" t="n"/>
      <c r="L27" s="5" t="n"/>
      <c r="M27" s="5" t="n"/>
      <c r="N27" s="11">
        <f>IF($A27="","",IF(COUNTIFS('مقدّمو الطلبات'!$A$5:$A$204,$A27,'مقدّمو الطلبات'!$J$5:$J$204,"&lt;&gt;")=0,"",SUMPRODUCT(MAX(('مقدّمو الطلبات'!$A$5:$A$204=$A27)*'مقدّمو الطلبات'!$J$5:$J$204))))</f>
        <v/>
      </c>
      <c r="O27" s="6">
        <f>IF($A27="","",COUNTIFS('مقدّمو الطلبات'!$A$5:$A$204,$A27,'مقدّمو الطلبات'!$K$5:$K$204,"لا"))</f>
        <v/>
      </c>
      <c r="P27" s="12">
        <f>IF($A27="","",IF($C27=0,"بلا مقدّمي طلب",IF($J27="","بلا قرار",IF($O27&gt;0,"ردود مستحقة",IF(OR($J27="غير مخطط لها",$J27="أُطلقت"),"مغلق","مفتوح")))))</f>
        <v/>
      </c>
      <c r="Q27" s="5" t="n"/>
      <c r="R27">
        <f>IF(ISNUMBER($I27),$I27+(1000-ROW())/100000,"")</f>
        <v/>
      </c>
    </row>
    <row r="28">
      <c r="A28" s="4" t="n"/>
      <c r="B28" s="5" t="n"/>
      <c r="C28" s="6">
        <f>IF($A28="","",COUNTIF('مقدّمو الطلبات'!$A$5:$A$204,$A28))</f>
        <v/>
      </c>
      <c r="D28" s="7" t="n"/>
      <c r="E28" s="5" t="n"/>
      <c r="F28" s="8">
        <f>IF($A28="","",SUMIFS('مقدّمو الطلبات'!$F$5:$F$204,'مقدّمو الطلبات'!$A$5:$A$204,$A28,'مقدّمو الطلبات'!$G$5:$G$204,"نعم"))</f>
        <v/>
      </c>
      <c r="G28" s="9" t="n"/>
      <c r="H28" s="9" t="n"/>
      <c r="I28" s="10">
        <f>IF(OR($A28="",$D28="",$E28="",$G28="",$H28=""),"",MIN($C28,'القوائم'!$N$5)+IFERROR(VLOOKUP($D28,'القوائم'!$A$5:$B$8,2,FALSE),0)+IFERROR(VLOOKUP($E28,'القوائم'!$C$5:$D$7,2,FALSE),0)+IF($F28&gt;='القوائم'!$N$6,2,IF($F28&gt;0,1,0))+IFERROR(VLOOKUP($G28,'القوائم'!$E$5:$F$7,2,FALSE),0)+IFERROR(VLOOKUP($H28,'القوائم'!$G$5:$H$7,2,FALSE),0))</f>
        <v/>
      </c>
      <c r="J28" s="7" t="n"/>
      <c r="K28" s="5" t="n"/>
      <c r="L28" s="5" t="n"/>
      <c r="M28" s="5" t="n"/>
      <c r="N28" s="11">
        <f>IF($A28="","",IF(COUNTIFS('مقدّمو الطلبات'!$A$5:$A$204,$A28,'مقدّمو الطلبات'!$J$5:$J$204,"&lt;&gt;")=0,"",SUMPRODUCT(MAX(('مقدّمو الطلبات'!$A$5:$A$204=$A28)*'مقدّمو الطلبات'!$J$5:$J$204))))</f>
        <v/>
      </c>
      <c r="O28" s="6">
        <f>IF($A28="","",COUNTIFS('مقدّمو الطلبات'!$A$5:$A$204,$A28,'مقدّمو الطلبات'!$K$5:$K$204,"لا"))</f>
        <v/>
      </c>
      <c r="P28" s="12">
        <f>IF($A28="","",IF($C28=0,"بلا مقدّمي طلب",IF($J28="","بلا قرار",IF($O28&gt;0,"ردود مستحقة",IF(OR($J28="غير مخطط لها",$J28="أُطلقت"),"مغلق","مفتوح")))))</f>
        <v/>
      </c>
      <c r="Q28" s="5" t="n"/>
      <c r="R28">
        <f>IF(ISNUMBER($I28),$I28+(1000-ROW())/100000,"")</f>
        <v/>
      </c>
    </row>
    <row r="29">
      <c r="A29" s="4" t="n"/>
      <c r="B29" s="5" t="n"/>
      <c r="C29" s="6">
        <f>IF($A29="","",COUNTIF('مقدّمو الطلبات'!$A$5:$A$204,$A29))</f>
        <v/>
      </c>
      <c r="D29" s="7" t="n"/>
      <c r="E29" s="5" t="n"/>
      <c r="F29" s="8">
        <f>IF($A29="","",SUMIFS('مقدّمو الطلبات'!$F$5:$F$204,'مقدّمو الطلبات'!$A$5:$A$204,$A29,'مقدّمو الطلبات'!$G$5:$G$204,"نعم"))</f>
        <v/>
      </c>
      <c r="G29" s="9" t="n"/>
      <c r="H29" s="9" t="n"/>
      <c r="I29" s="10">
        <f>IF(OR($A29="",$D29="",$E29="",$G29="",$H29=""),"",MIN($C29,'القوائم'!$N$5)+IFERROR(VLOOKUP($D29,'القوائم'!$A$5:$B$8,2,FALSE),0)+IFERROR(VLOOKUP($E29,'القوائم'!$C$5:$D$7,2,FALSE),0)+IF($F29&gt;='القوائم'!$N$6,2,IF($F29&gt;0,1,0))+IFERROR(VLOOKUP($G29,'القوائم'!$E$5:$F$7,2,FALSE),0)+IFERROR(VLOOKUP($H29,'القوائم'!$G$5:$H$7,2,FALSE),0))</f>
        <v/>
      </c>
      <c r="J29" s="7" t="n"/>
      <c r="K29" s="5" t="n"/>
      <c r="L29" s="5" t="n"/>
      <c r="M29" s="5" t="n"/>
      <c r="N29" s="11">
        <f>IF($A29="","",IF(COUNTIFS('مقدّمو الطلبات'!$A$5:$A$204,$A29,'مقدّمو الطلبات'!$J$5:$J$204,"&lt;&gt;")=0,"",SUMPRODUCT(MAX(('مقدّمو الطلبات'!$A$5:$A$204=$A29)*'مقدّمو الطلبات'!$J$5:$J$204))))</f>
        <v/>
      </c>
      <c r="O29" s="6">
        <f>IF($A29="","",COUNTIFS('مقدّمو الطلبات'!$A$5:$A$204,$A29,'مقدّمو الطلبات'!$K$5:$K$204,"لا"))</f>
        <v/>
      </c>
      <c r="P29" s="12">
        <f>IF($A29="","",IF($C29=0,"بلا مقدّمي طلب",IF($J29="","بلا قرار",IF($O29&gt;0,"ردود مستحقة",IF(OR($J29="غير مخطط لها",$J29="أُطلقت"),"مغلق","مفتوح")))))</f>
        <v/>
      </c>
      <c r="Q29" s="5" t="n"/>
      <c r="R29">
        <f>IF(ISNUMBER($I29),$I29+(1000-ROW())/100000,"")</f>
        <v/>
      </c>
    </row>
    <row r="30">
      <c r="A30" s="4" t="n"/>
      <c r="B30" s="5" t="n"/>
      <c r="C30" s="6">
        <f>IF($A30="","",COUNTIF('مقدّمو الطلبات'!$A$5:$A$204,$A30))</f>
        <v/>
      </c>
      <c r="D30" s="7" t="n"/>
      <c r="E30" s="5" t="n"/>
      <c r="F30" s="8">
        <f>IF($A30="","",SUMIFS('مقدّمو الطلبات'!$F$5:$F$204,'مقدّمو الطلبات'!$A$5:$A$204,$A30,'مقدّمو الطلبات'!$G$5:$G$204,"نعم"))</f>
        <v/>
      </c>
      <c r="G30" s="9" t="n"/>
      <c r="H30" s="9" t="n"/>
      <c r="I30" s="10">
        <f>IF(OR($A30="",$D30="",$E30="",$G30="",$H30=""),"",MIN($C30,'القوائم'!$N$5)+IFERROR(VLOOKUP($D30,'القوائم'!$A$5:$B$8,2,FALSE),0)+IFERROR(VLOOKUP($E30,'القوائم'!$C$5:$D$7,2,FALSE),0)+IF($F30&gt;='القوائم'!$N$6,2,IF($F30&gt;0,1,0))+IFERROR(VLOOKUP($G30,'القوائم'!$E$5:$F$7,2,FALSE),0)+IFERROR(VLOOKUP($H30,'القوائم'!$G$5:$H$7,2,FALSE),0))</f>
        <v/>
      </c>
      <c r="J30" s="7" t="n"/>
      <c r="K30" s="5" t="n"/>
      <c r="L30" s="5" t="n"/>
      <c r="M30" s="5" t="n"/>
      <c r="N30" s="11">
        <f>IF($A30="","",IF(COUNTIFS('مقدّمو الطلبات'!$A$5:$A$204,$A30,'مقدّمو الطلبات'!$J$5:$J$204,"&lt;&gt;")=0,"",SUMPRODUCT(MAX(('مقدّمو الطلبات'!$A$5:$A$204=$A30)*'مقدّمو الطلبات'!$J$5:$J$204))))</f>
        <v/>
      </c>
      <c r="O30" s="6">
        <f>IF($A30="","",COUNTIFS('مقدّمو الطلبات'!$A$5:$A$204,$A30,'مقدّمو الطلبات'!$K$5:$K$204,"لا"))</f>
        <v/>
      </c>
      <c r="P30" s="12">
        <f>IF($A30="","",IF($C30=0,"بلا مقدّمي طلب",IF($J30="","بلا قرار",IF($O30&gt;0,"ردود مستحقة",IF(OR($J30="غير مخطط لها",$J30="أُطلقت"),"مغلق","مفتوح")))))</f>
        <v/>
      </c>
      <c r="Q30" s="5" t="n"/>
      <c r="R30">
        <f>IF(ISNUMBER($I30),$I30+(1000-ROW())/100000,"")</f>
        <v/>
      </c>
    </row>
    <row r="31">
      <c r="A31" s="4" t="n"/>
      <c r="B31" s="5" t="n"/>
      <c r="C31" s="6">
        <f>IF($A31="","",COUNTIF('مقدّمو الطلبات'!$A$5:$A$204,$A31))</f>
        <v/>
      </c>
      <c r="D31" s="7" t="n"/>
      <c r="E31" s="5" t="n"/>
      <c r="F31" s="8">
        <f>IF($A31="","",SUMIFS('مقدّمو الطلبات'!$F$5:$F$204,'مقدّمو الطلبات'!$A$5:$A$204,$A31,'مقدّمو الطلبات'!$G$5:$G$204,"نعم"))</f>
        <v/>
      </c>
      <c r="G31" s="9" t="n"/>
      <c r="H31" s="9" t="n"/>
      <c r="I31" s="10">
        <f>IF(OR($A31="",$D31="",$E31="",$G31="",$H31=""),"",MIN($C31,'القوائم'!$N$5)+IFERROR(VLOOKUP($D31,'القوائم'!$A$5:$B$8,2,FALSE),0)+IFERROR(VLOOKUP($E31,'القوائم'!$C$5:$D$7,2,FALSE),0)+IF($F31&gt;='القوائم'!$N$6,2,IF($F31&gt;0,1,0))+IFERROR(VLOOKUP($G31,'القوائم'!$E$5:$F$7,2,FALSE),0)+IFERROR(VLOOKUP($H31,'القوائم'!$G$5:$H$7,2,FALSE),0))</f>
        <v/>
      </c>
      <c r="J31" s="7" t="n"/>
      <c r="K31" s="5" t="n"/>
      <c r="L31" s="5" t="n"/>
      <c r="M31" s="5" t="n"/>
      <c r="N31" s="11">
        <f>IF($A31="","",IF(COUNTIFS('مقدّمو الطلبات'!$A$5:$A$204,$A31,'مقدّمو الطلبات'!$J$5:$J$204,"&lt;&gt;")=0,"",SUMPRODUCT(MAX(('مقدّمو الطلبات'!$A$5:$A$204=$A31)*'مقدّمو الطلبات'!$J$5:$J$204))))</f>
        <v/>
      </c>
      <c r="O31" s="6">
        <f>IF($A31="","",COUNTIFS('مقدّمو الطلبات'!$A$5:$A$204,$A31,'مقدّمو الطلبات'!$K$5:$K$204,"لا"))</f>
        <v/>
      </c>
      <c r="P31" s="12">
        <f>IF($A31="","",IF($C31=0,"بلا مقدّمي طلب",IF($J31="","بلا قرار",IF($O31&gt;0,"ردود مستحقة",IF(OR($J31="غير مخطط لها",$J31="أُطلقت"),"مغلق","مفتوح")))))</f>
        <v/>
      </c>
      <c r="Q31" s="5" t="n"/>
      <c r="R31">
        <f>IF(ISNUMBER($I31),$I31+(1000-ROW())/100000,"")</f>
        <v/>
      </c>
    </row>
    <row r="32">
      <c r="A32" s="4" t="n"/>
      <c r="B32" s="5" t="n"/>
      <c r="C32" s="6">
        <f>IF($A32="","",COUNTIF('مقدّمو الطلبات'!$A$5:$A$204,$A32))</f>
        <v/>
      </c>
      <c r="D32" s="7" t="n"/>
      <c r="E32" s="5" t="n"/>
      <c r="F32" s="8">
        <f>IF($A32="","",SUMIFS('مقدّمو الطلبات'!$F$5:$F$204,'مقدّمو الطلبات'!$A$5:$A$204,$A32,'مقدّمو الطلبات'!$G$5:$G$204,"نعم"))</f>
        <v/>
      </c>
      <c r="G32" s="9" t="n"/>
      <c r="H32" s="9" t="n"/>
      <c r="I32" s="10">
        <f>IF(OR($A32="",$D32="",$E32="",$G32="",$H32=""),"",MIN($C32,'القوائم'!$N$5)+IFERROR(VLOOKUP($D32,'القوائم'!$A$5:$B$8,2,FALSE),0)+IFERROR(VLOOKUP($E32,'القوائم'!$C$5:$D$7,2,FALSE),0)+IF($F32&gt;='القوائم'!$N$6,2,IF($F32&gt;0,1,0))+IFERROR(VLOOKUP($G32,'القوائم'!$E$5:$F$7,2,FALSE),0)+IFERROR(VLOOKUP($H32,'القوائم'!$G$5:$H$7,2,FALSE),0))</f>
        <v/>
      </c>
      <c r="J32" s="7" t="n"/>
      <c r="K32" s="5" t="n"/>
      <c r="L32" s="5" t="n"/>
      <c r="M32" s="5" t="n"/>
      <c r="N32" s="11">
        <f>IF($A32="","",IF(COUNTIFS('مقدّمو الطلبات'!$A$5:$A$204,$A32,'مقدّمو الطلبات'!$J$5:$J$204,"&lt;&gt;")=0,"",SUMPRODUCT(MAX(('مقدّمو الطلبات'!$A$5:$A$204=$A32)*'مقدّمو الطلبات'!$J$5:$J$204))))</f>
        <v/>
      </c>
      <c r="O32" s="6">
        <f>IF($A32="","",COUNTIFS('مقدّمو الطلبات'!$A$5:$A$204,$A32,'مقدّمو الطلبات'!$K$5:$K$204,"لا"))</f>
        <v/>
      </c>
      <c r="P32" s="12">
        <f>IF($A32="","",IF($C32=0,"بلا مقدّمي طلب",IF($J32="","بلا قرار",IF($O32&gt;0,"ردود مستحقة",IF(OR($J32="غير مخطط لها",$J32="أُطلقت"),"مغلق","مفتوح")))))</f>
        <v/>
      </c>
      <c r="Q32" s="5" t="n"/>
      <c r="R32">
        <f>IF(ISNUMBER($I32),$I32+(1000-ROW())/100000,"")</f>
        <v/>
      </c>
    </row>
    <row r="33">
      <c r="A33" s="4" t="n"/>
      <c r="B33" s="5" t="n"/>
      <c r="C33" s="6">
        <f>IF($A33="","",COUNTIF('مقدّمو الطلبات'!$A$5:$A$204,$A33))</f>
        <v/>
      </c>
      <c r="D33" s="7" t="n"/>
      <c r="E33" s="5" t="n"/>
      <c r="F33" s="8">
        <f>IF($A33="","",SUMIFS('مقدّمو الطلبات'!$F$5:$F$204,'مقدّمو الطلبات'!$A$5:$A$204,$A33,'مقدّمو الطلبات'!$G$5:$G$204,"نعم"))</f>
        <v/>
      </c>
      <c r="G33" s="9" t="n"/>
      <c r="H33" s="9" t="n"/>
      <c r="I33" s="10">
        <f>IF(OR($A33="",$D33="",$E33="",$G33="",$H33=""),"",MIN($C33,'القوائم'!$N$5)+IFERROR(VLOOKUP($D33,'القوائم'!$A$5:$B$8,2,FALSE),0)+IFERROR(VLOOKUP($E33,'القوائم'!$C$5:$D$7,2,FALSE),0)+IF($F33&gt;='القوائم'!$N$6,2,IF($F33&gt;0,1,0))+IFERROR(VLOOKUP($G33,'القوائم'!$E$5:$F$7,2,FALSE),0)+IFERROR(VLOOKUP($H33,'القوائم'!$G$5:$H$7,2,FALSE),0))</f>
        <v/>
      </c>
      <c r="J33" s="7" t="n"/>
      <c r="K33" s="5" t="n"/>
      <c r="L33" s="5" t="n"/>
      <c r="M33" s="5" t="n"/>
      <c r="N33" s="11">
        <f>IF($A33="","",IF(COUNTIFS('مقدّمو الطلبات'!$A$5:$A$204,$A33,'مقدّمو الطلبات'!$J$5:$J$204,"&lt;&gt;")=0,"",SUMPRODUCT(MAX(('مقدّمو الطلبات'!$A$5:$A$204=$A33)*'مقدّمو الطلبات'!$J$5:$J$204))))</f>
        <v/>
      </c>
      <c r="O33" s="6">
        <f>IF($A33="","",COUNTIFS('مقدّمو الطلبات'!$A$5:$A$204,$A33,'مقدّمو الطلبات'!$K$5:$K$204,"لا"))</f>
        <v/>
      </c>
      <c r="P33" s="12">
        <f>IF($A33="","",IF($C33=0,"بلا مقدّمي طلب",IF($J33="","بلا قرار",IF($O33&gt;0,"ردود مستحقة",IF(OR($J33="غير مخطط لها",$J33="أُطلقت"),"مغلق","مفتوح")))))</f>
        <v/>
      </c>
      <c r="Q33" s="5" t="n"/>
      <c r="R33">
        <f>IF(ISNUMBER($I33),$I33+(1000-ROW())/100000,"")</f>
        <v/>
      </c>
    </row>
    <row r="34">
      <c r="A34" s="4" t="n"/>
      <c r="B34" s="5" t="n"/>
      <c r="C34" s="6">
        <f>IF($A34="","",COUNTIF('مقدّمو الطلبات'!$A$5:$A$204,$A34))</f>
        <v/>
      </c>
      <c r="D34" s="7" t="n"/>
      <c r="E34" s="5" t="n"/>
      <c r="F34" s="8">
        <f>IF($A34="","",SUMIFS('مقدّمو الطلبات'!$F$5:$F$204,'مقدّمو الطلبات'!$A$5:$A$204,$A34,'مقدّمو الطلبات'!$G$5:$G$204,"نعم"))</f>
        <v/>
      </c>
      <c r="G34" s="9" t="n"/>
      <c r="H34" s="9" t="n"/>
      <c r="I34" s="10">
        <f>IF(OR($A34="",$D34="",$E34="",$G34="",$H34=""),"",MIN($C34,'القوائم'!$N$5)+IFERROR(VLOOKUP($D34,'القوائم'!$A$5:$B$8,2,FALSE),0)+IFERROR(VLOOKUP($E34,'القوائم'!$C$5:$D$7,2,FALSE),0)+IF($F34&gt;='القوائم'!$N$6,2,IF($F34&gt;0,1,0))+IFERROR(VLOOKUP($G34,'القوائم'!$E$5:$F$7,2,FALSE),0)+IFERROR(VLOOKUP($H34,'القوائم'!$G$5:$H$7,2,FALSE),0))</f>
        <v/>
      </c>
      <c r="J34" s="7" t="n"/>
      <c r="K34" s="5" t="n"/>
      <c r="L34" s="5" t="n"/>
      <c r="M34" s="5" t="n"/>
      <c r="N34" s="11">
        <f>IF($A34="","",IF(COUNTIFS('مقدّمو الطلبات'!$A$5:$A$204,$A34,'مقدّمو الطلبات'!$J$5:$J$204,"&lt;&gt;")=0,"",SUMPRODUCT(MAX(('مقدّمو الطلبات'!$A$5:$A$204=$A34)*'مقدّمو الطلبات'!$J$5:$J$204))))</f>
        <v/>
      </c>
      <c r="O34" s="6">
        <f>IF($A34="","",COUNTIFS('مقدّمو الطلبات'!$A$5:$A$204,$A34,'مقدّمو الطلبات'!$K$5:$K$204,"لا"))</f>
        <v/>
      </c>
      <c r="P34" s="12">
        <f>IF($A34="","",IF($C34=0,"بلا مقدّمي طلب",IF($J34="","بلا قرار",IF($O34&gt;0,"ردود مستحقة",IF(OR($J34="غير مخطط لها",$J34="أُطلقت"),"مغلق","مفتوح")))))</f>
        <v/>
      </c>
      <c r="Q34" s="5" t="n"/>
      <c r="R34">
        <f>IF(ISNUMBER($I34),$I34+(1000-ROW())/100000,"")</f>
        <v/>
      </c>
    </row>
    <row r="35">
      <c r="A35" s="4" t="n"/>
      <c r="B35" s="5" t="n"/>
      <c r="C35" s="6">
        <f>IF($A35="","",COUNTIF('مقدّمو الطلبات'!$A$5:$A$204,$A35))</f>
        <v/>
      </c>
      <c r="D35" s="7" t="n"/>
      <c r="E35" s="5" t="n"/>
      <c r="F35" s="8">
        <f>IF($A35="","",SUMIFS('مقدّمو الطلبات'!$F$5:$F$204,'مقدّمو الطلبات'!$A$5:$A$204,$A35,'مقدّمو الطلبات'!$G$5:$G$204,"نعم"))</f>
        <v/>
      </c>
      <c r="G35" s="9" t="n"/>
      <c r="H35" s="9" t="n"/>
      <c r="I35" s="10">
        <f>IF(OR($A35="",$D35="",$E35="",$G35="",$H35=""),"",MIN($C35,'القوائم'!$N$5)+IFERROR(VLOOKUP($D35,'القوائم'!$A$5:$B$8,2,FALSE),0)+IFERROR(VLOOKUP($E35,'القوائم'!$C$5:$D$7,2,FALSE),0)+IF($F35&gt;='القوائم'!$N$6,2,IF($F35&gt;0,1,0))+IFERROR(VLOOKUP($G35,'القوائم'!$E$5:$F$7,2,FALSE),0)+IFERROR(VLOOKUP($H35,'القوائم'!$G$5:$H$7,2,FALSE),0))</f>
        <v/>
      </c>
      <c r="J35" s="7" t="n"/>
      <c r="K35" s="5" t="n"/>
      <c r="L35" s="5" t="n"/>
      <c r="M35" s="5" t="n"/>
      <c r="N35" s="11">
        <f>IF($A35="","",IF(COUNTIFS('مقدّمو الطلبات'!$A$5:$A$204,$A35,'مقدّمو الطلبات'!$J$5:$J$204,"&lt;&gt;")=0,"",SUMPRODUCT(MAX(('مقدّمو الطلبات'!$A$5:$A$204=$A35)*'مقدّمو الطلبات'!$J$5:$J$204))))</f>
        <v/>
      </c>
      <c r="O35" s="6">
        <f>IF($A35="","",COUNTIFS('مقدّمو الطلبات'!$A$5:$A$204,$A35,'مقدّمو الطلبات'!$K$5:$K$204,"لا"))</f>
        <v/>
      </c>
      <c r="P35" s="12">
        <f>IF($A35="","",IF($C35=0,"بلا مقدّمي طلب",IF($J35="","بلا قرار",IF($O35&gt;0,"ردود مستحقة",IF(OR($J35="غير مخطط لها",$J35="أُطلقت"),"مغلق","مفتوح")))))</f>
        <v/>
      </c>
      <c r="Q35" s="5" t="n"/>
      <c r="R35">
        <f>IF(ISNUMBER($I35),$I35+(1000-ROW())/100000,"")</f>
        <v/>
      </c>
    </row>
    <row r="36">
      <c r="A36" s="4" t="n"/>
      <c r="B36" s="5" t="n"/>
      <c r="C36" s="6">
        <f>IF($A36="","",COUNTIF('مقدّمو الطلبات'!$A$5:$A$204,$A36))</f>
        <v/>
      </c>
      <c r="D36" s="7" t="n"/>
      <c r="E36" s="5" t="n"/>
      <c r="F36" s="8">
        <f>IF($A36="","",SUMIFS('مقدّمو الطلبات'!$F$5:$F$204,'مقدّمو الطلبات'!$A$5:$A$204,$A36,'مقدّمو الطلبات'!$G$5:$G$204,"نعم"))</f>
        <v/>
      </c>
      <c r="G36" s="9" t="n"/>
      <c r="H36" s="9" t="n"/>
      <c r="I36" s="10">
        <f>IF(OR($A36="",$D36="",$E36="",$G36="",$H36=""),"",MIN($C36,'القوائم'!$N$5)+IFERROR(VLOOKUP($D36,'القوائم'!$A$5:$B$8,2,FALSE),0)+IFERROR(VLOOKUP($E36,'القوائم'!$C$5:$D$7,2,FALSE),0)+IF($F36&gt;='القوائم'!$N$6,2,IF($F36&gt;0,1,0))+IFERROR(VLOOKUP($G36,'القوائم'!$E$5:$F$7,2,FALSE),0)+IFERROR(VLOOKUP($H36,'القوائم'!$G$5:$H$7,2,FALSE),0))</f>
        <v/>
      </c>
      <c r="J36" s="7" t="n"/>
      <c r="K36" s="5" t="n"/>
      <c r="L36" s="5" t="n"/>
      <c r="M36" s="5" t="n"/>
      <c r="N36" s="11">
        <f>IF($A36="","",IF(COUNTIFS('مقدّمو الطلبات'!$A$5:$A$204,$A36,'مقدّمو الطلبات'!$J$5:$J$204,"&lt;&gt;")=0,"",SUMPRODUCT(MAX(('مقدّمو الطلبات'!$A$5:$A$204=$A36)*'مقدّمو الطلبات'!$J$5:$J$204))))</f>
        <v/>
      </c>
      <c r="O36" s="6">
        <f>IF($A36="","",COUNTIFS('مقدّمو الطلبات'!$A$5:$A$204,$A36,'مقدّمو الطلبات'!$K$5:$K$204,"لا"))</f>
        <v/>
      </c>
      <c r="P36" s="12">
        <f>IF($A36="","",IF($C36=0,"بلا مقدّمي طلب",IF($J36="","بلا قرار",IF($O36&gt;0,"ردود مستحقة",IF(OR($J36="غير مخطط لها",$J36="أُطلقت"),"مغلق","مفتوح")))))</f>
        <v/>
      </c>
      <c r="Q36" s="5" t="n"/>
      <c r="R36">
        <f>IF(ISNUMBER($I36),$I36+(1000-ROW())/100000,"")</f>
        <v/>
      </c>
    </row>
    <row r="37">
      <c r="A37" s="4" t="n"/>
      <c r="B37" s="5" t="n"/>
      <c r="C37" s="6">
        <f>IF($A37="","",COUNTIF('مقدّمو الطلبات'!$A$5:$A$204,$A37))</f>
        <v/>
      </c>
      <c r="D37" s="7" t="n"/>
      <c r="E37" s="5" t="n"/>
      <c r="F37" s="8">
        <f>IF($A37="","",SUMIFS('مقدّمو الطلبات'!$F$5:$F$204,'مقدّمو الطلبات'!$A$5:$A$204,$A37,'مقدّمو الطلبات'!$G$5:$G$204,"نعم"))</f>
        <v/>
      </c>
      <c r="G37" s="9" t="n"/>
      <c r="H37" s="9" t="n"/>
      <c r="I37" s="10">
        <f>IF(OR($A37="",$D37="",$E37="",$G37="",$H37=""),"",MIN($C37,'القوائم'!$N$5)+IFERROR(VLOOKUP($D37,'القوائم'!$A$5:$B$8,2,FALSE),0)+IFERROR(VLOOKUP($E37,'القوائم'!$C$5:$D$7,2,FALSE),0)+IF($F37&gt;='القوائم'!$N$6,2,IF($F37&gt;0,1,0))+IFERROR(VLOOKUP($G37,'القوائم'!$E$5:$F$7,2,FALSE),0)+IFERROR(VLOOKUP($H37,'القوائم'!$G$5:$H$7,2,FALSE),0))</f>
        <v/>
      </c>
      <c r="J37" s="7" t="n"/>
      <c r="K37" s="5" t="n"/>
      <c r="L37" s="5" t="n"/>
      <c r="M37" s="5" t="n"/>
      <c r="N37" s="11">
        <f>IF($A37="","",IF(COUNTIFS('مقدّمو الطلبات'!$A$5:$A$204,$A37,'مقدّمو الطلبات'!$J$5:$J$204,"&lt;&gt;")=0,"",SUMPRODUCT(MAX(('مقدّمو الطلبات'!$A$5:$A$204=$A37)*'مقدّمو الطلبات'!$J$5:$J$204))))</f>
        <v/>
      </c>
      <c r="O37" s="6">
        <f>IF($A37="","",COUNTIFS('مقدّمو الطلبات'!$A$5:$A$204,$A37,'مقدّمو الطلبات'!$K$5:$K$204,"لا"))</f>
        <v/>
      </c>
      <c r="P37" s="12">
        <f>IF($A37="","",IF($C37=0,"بلا مقدّمي طلب",IF($J37="","بلا قرار",IF($O37&gt;0,"ردود مستحقة",IF(OR($J37="غير مخطط لها",$J37="أُطلقت"),"مغلق","مفتوح")))))</f>
        <v/>
      </c>
      <c r="Q37" s="5" t="n"/>
      <c r="R37">
        <f>IF(ISNUMBER($I37),$I37+(1000-ROW())/100000,"")</f>
        <v/>
      </c>
    </row>
    <row r="38">
      <c r="A38" s="4" t="n"/>
      <c r="B38" s="5" t="n"/>
      <c r="C38" s="6">
        <f>IF($A38="","",COUNTIF('مقدّمو الطلبات'!$A$5:$A$204,$A38))</f>
        <v/>
      </c>
      <c r="D38" s="7" t="n"/>
      <c r="E38" s="5" t="n"/>
      <c r="F38" s="8">
        <f>IF($A38="","",SUMIFS('مقدّمو الطلبات'!$F$5:$F$204,'مقدّمو الطلبات'!$A$5:$A$204,$A38,'مقدّمو الطلبات'!$G$5:$G$204,"نعم"))</f>
        <v/>
      </c>
      <c r="G38" s="9" t="n"/>
      <c r="H38" s="9" t="n"/>
      <c r="I38" s="10">
        <f>IF(OR($A38="",$D38="",$E38="",$G38="",$H38=""),"",MIN($C38,'القوائم'!$N$5)+IFERROR(VLOOKUP($D38,'القوائم'!$A$5:$B$8,2,FALSE),0)+IFERROR(VLOOKUP($E38,'القوائم'!$C$5:$D$7,2,FALSE),0)+IF($F38&gt;='القوائم'!$N$6,2,IF($F38&gt;0,1,0))+IFERROR(VLOOKUP($G38,'القوائم'!$E$5:$F$7,2,FALSE),0)+IFERROR(VLOOKUP($H38,'القوائم'!$G$5:$H$7,2,FALSE),0))</f>
        <v/>
      </c>
      <c r="J38" s="7" t="n"/>
      <c r="K38" s="5" t="n"/>
      <c r="L38" s="5" t="n"/>
      <c r="M38" s="5" t="n"/>
      <c r="N38" s="11">
        <f>IF($A38="","",IF(COUNTIFS('مقدّمو الطلبات'!$A$5:$A$204,$A38,'مقدّمو الطلبات'!$J$5:$J$204,"&lt;&gt;")=0,"",SUMPRODUCT(MAX(('مقدّمو الطلبات'!$A$5:$A$204=$A38)*'مقدّمو الطلبات'!$J$5:$J$204))))</f>
        <v/>
      </c>
      <c r="O38" s="6">
        <f>IF($A38="","",COUNTIFS('مقدّمو الطلبات'!$A$5:$A$204,$A38,'مقدّمو الطلبات'!$K$5:$K$204,"لا"))</f>
        <v/>
      </c>
      <c r="P38" s="12">
        <f>IF($A38="","",IF($C38=0,"بلا مقدّمي طلب",IF($J38="","بلا قرار",IF($O38&gt;0,"ردود مستحقة",IF(OR($J38="غير مخطط لها",$J38="أُطلقت"),"مغلق","مفتوح")))))</f>
        <v/>
      </c>
      <c r="Q38" s="5" t="n"/>
      <c r="R38">
        <f>IF(ISNUMBER($I38),$I38+(1000-ROW())/100000,"")</f>
        <v/>
      </c>
    </row>
    <row r="39">
      <c r="A39" s="4" t="n"/>
      <c r="B39" s="5" t="n"/>
      <c r="C39" s="6">
        <f>IF($A39="","",COUNTIF('مقدّمو الطلبات'!$A$5:$A$204,$A39))</f>
        <v/>
      </c>
      <c r="D39" s="7" t="n"/>
      <c r="E39" s="5" t="n"/>
      <c r="F39" s="8">
        <f>IF($A39="","",SUMIFS('مقدّمو الطلبات'!$F$5:$F$204,'مقدّمو الطلبات'!$A$5:$A$204,$A39,'مقدّمو الطلبات'!$G$5:$G$204,"نعم"))</f>
        <v/>
      </c>
      <c r="G39" s="9" t="n"/>
      <c r="H39" s="9" t="n"/>
      <c r="I39" s="10">
        <f>IF(OR($A39="",$D39="",$E39="",$G39="",$H39=""),"",MIN($C39,'القوائم'!$N$5)+IFERROR(VLOOKUP($D39,'القوائم'!$A$5:$B$8,2,FALSE),0)+IFERROR(VLOOKUP($E39,'القوائم'!$C$5:$D$7,2,FALSE),0)+IF($F39&gt;='القوائم'!$N$6,2,IF($F39&gt;0,1,0))+IFERROR(VLOOKUP($G39,'القوائم'!$E$5:$F$7,2,FALSE),0)+IFERROR(VLOOKUP($H39,'القوائم'!$G$5:$H$7,2,FALSE),0))</f>
        <v/>
      </c>
      <c r="J39" s="7" t="n"/>
      <c r="K39" s="5" t="n"/>
      <c r="L39" s="5" t="n"/>
      <c r="M39" s="5" t="n"/>
      <c r="N39" s="11">
        <f>IF($A39="","",IF(COUNTIFS('مقدّمو الطلبات'!$A$5:$A$204,$A39,'مقدّمو الطلبات'!$J$5:$J$204,"&lt;&gt;")=0,"",SUMPRODUCT(MAX(('مقدّمو الطلبات'!$A$5:$A$204=$A39)*'مقدّمو الطلبات'!$J$5:$J$204))))</f>
        <v/>
      </c>
      <c r="O39" s="6">
        <f>IF($A39="","",COUNTIFS('مقدّمو الطلبات'!$A$5:$A$204,$A39,'مقدّمو الطلبات'!$K$5:$K$204,"لا"))</f>
        <v/>
      </c>
      <c r="P39" s="12">
        <f>IF($A39="","",IF($C39=0,"بلا مقدّمي طلب",IF($J39="","بلا قرار",IF($O39&gt;0,"ردود مستحقة",IF(OR($J39="غير مخطط لها",$J39="أُطلقت"),"مغلق","مفتوح")))))</f>
        <v/>
      </c>
      <c r="Q39" s="5" t="n"/>
      <c r="R39">
        <f>IF(ISNUMBER($I39),$I39+(1000-ROW())/100000,"")</f>
        <v/>
      </c>
    </row>
    <row r="40">
      <c r="A40" s="4" t="n"/>
      <c r="B40" s="5" t="n"/>
      <c r="C40" s="6">
        <f>IF($A40="","",COUNTIF('مقدّمو الطلبات'!$A$5:$A$204,$A40))</f>
        <v/>
      </c>
      <c r="D40" s="7" t="n"/>
      <c r="E40" s="5" t="n"/>
      <c r="F40" s="8">
        <f>IF($A40="","",SUMIFS('مقدّمو الطلبات'!$F$5:$F$204,'مقدّمو الطلبات'!$A$5:$A$204,$A40,'مقدّمو الطلبات'!$G$5:$G$204,"نعم"))</f>
        <v/>
      </c>
      <c r="G40" s="9" t="n"/>
      <c r="H40" s="9" t="n"/>
      <c r="I40" s="10">
        <f>IF(OR($A40="",$D40="",$E40="",$G40="",$H40=""),"",MIN($C40,'القوائم'!$N$5)+IFERROR(VLOOKUP($D40,'القوائم'!$A$5:$B$8,2,FALSE),0)+IFERROR(VLOOKUP($E40,'القوائم'!$C$5:$D$7,2,FALSE),0)+IF($F40&gt;='القوائم'!$N$6,2,IF($F40&gt;0,1,0))+IFERROR(VLOOKUP($G40,'القوائم'!$E$5:$F$7,2,FALSE),0)+IFERROR(VLOOKUP($H40,'القوائم'!$G$5:$H$7,2,FALSE),0))</f>
        <v/>
      </c>
      <c r="J40" s="7" t="n"/>
      <c r="K40" s="5" t="n"/>
      <c r="L40" s="5" t="n"/>
      <c r="M40" s="5" t="n"/>
      <c r="N40" s="11">
        <f>IF($A40="","",IF(COUNTIFS('مقدّمو الطلبات'!$A$5:$A$204,$A40,'مقدّمو الطلبات'!$J$5:$J$204,"&lt;&gt;")=0,"",SUMPRODUCT(MAX(('مقدّمو الطلبات'!$A$5:$A$204=$A40)*'مقدّمو الطلبات'!$J$5:$J$204))))</f>
        <v/>
      </c>
      <c r="O40" s="6">
        <f>IF($A40="","",COUNTIFS('مقدّمو الطلبات'!$A$5:$A$204,$A40,'مقدّمو الطلبات'!$K$5:$K$204,"لا"))</f>
        <v/>
      </c>
      <c r="P40" s="12">
        <f>IF($A40="","",IF($C40=0,"بلا مقدّمي طلب",IF($J40="","بلا قرار",IF($O40&gt;0,"ردود مستحقة",IF(OR($J40="غير مخطط لها",$J40="أُطلقت"),"مغلق","مفتوح")))))</f>
        <v/>
      </c>
      <c r="Q40" s="5" t="n"/>
      <c r="R40">
        <f>IF(ISNUMBER($I40),$I40+(1000-ROW())/100000,"")</f>
        <v/>
      </c>
    </row>
    <row r="41">
      <c r="A41" s="4" t="n"/>
      <c r="B41" s="5" t="n"/>
      <c r="C41" s="6">
        <f>IF($A41="","",COUNTIF('مقدّمو الطلبات'!$A$5:$A$204,$A41))</f>
        <v/>
      </c>
      <c r="D41" s="7" t="n"/>
      <c r="E41" s="5" t="n"/>
      <c r="F41" s="8">
        <f>IF($A41="","",SUMIFS('مقدّمو الطلبات'!$F$5:$F$204,'مقدّمو الطلبات'!$A$5:$A$204,$A41,'مقدّمو الطلبات'!$G$5:$G$204,"نعم"))</f>
        <v/>
      </c>
      <c r="G41" s="9" t="n"/>
      <c r="H41" s="9" t="n"/>
      <c r="I41" s="10">
        <f>IF(OR($A41="",$D41="",$E41="",$G41="",$H41=""),"",MIN($C41,'القوائم'!$N$5)+IFERROR(VLOOKUP($D41,'القوائم'!$A$5:$B$8,2,FALSE),0)+IFERROR(VLOOKUP($E41,'القوائم'!$C$5:$D$7,2,FALSE),0)+IF($F41&gt;='القوائم'!$N$6,2,IF($F41&gt;0,1,0))+IFERROR(VLOOKUP($G41,'القوائم'!$E$5:$F$7,2,FALSE),0)+IFERROR(VLOOKUP($H41,'القوائم'!$G$5:$H$7,2,FALSE),0))</f>
        <v/>
      </c>
      <c r="J41" s="7" t="n"/>
      <c r="K41" s="5" t="n"/>
      <c r="L41" s="5" t="n"/>
      <c r="M41" s="5" t="n"/>
      <c r="N41" s="11">
        <f>IF($A41="","",IF(COUNTIFS('مقدّمو الطلبات'!$A$5:$A$204,$A41,'مقدّمو الطلبات'!$J$5:$J$204,"&lt;&gt;")=0,"",SUMPRODUCT(MAX(('مقدّمو الطلبات'!$A$5:$A$204=$A41)*'مقدّمو الطلبات'!$J$5:$J$204))))</f>
        <v/>
      </c>
      <c r="O41" s="6">
        <f>IF($A41="","",COUNTIFS('مقدّمو الطلبات'!$A$5:$A$204,$A41,'مقدّمو الطلبات'!$K$5:$K$204,"لا"))</f>
        <v/>
      </c>
      <c r="P41" s="12">
        <f>IF($A41="","",IF($C41=0,"بلا مقدّمي طلب",IF($J41="","بلا قرار",IF($O41&gt;0,"ردود مستحقة",IF(OR($J41="غير مخطط لها",$J41="أُطلقت"),"مغلق","مفتوح")))))</f>
        <v/>
      </c>
      <c r="Q41" s="5" t="n"/>
      <c r="R41">
        <f>IF(ISNUMBER($I41),$I41+(1000-ROW())/100000,"")</f>
        <v/>
      </c>
    </row>
    <row r="42">
      <c r="A42" s="4" t="n"/>
      <c r="B42" s="5" t="n"/>
      <c r="C42" s="6">
        <f>IF($A42="","",COUNTIF('مقدّمو الطلبات'!$A$5:$A$204,$A42))</f>
        <v/>
      </c>
      <c r="D42" s="7" t="n"/>
      <c r="E42" s="5" t="n"/>
      <c r="F42" s="8">
        <f>IF($A42="","",SUMIFS('مقدّمو الطلبات'!$F$5:$F$204,'مقدّمو الطلبات'!$A$5:$A$204,$A42,'مقدّمو الطلبات'!$G$5:$G$204,"نعم"))</f>
        <v/>
      </c>
      <c r="G42" s="9" t="n"/>
      <c r="H42" s="9" t="n"/>
      <c r="I42" s="10">
        <f>IF(OR($A42="",$D42="",$E42="",$G42="",$H42=""),"",MIN($C42,'القوائم'!$N$5)+IFERROR(VLOOKUP($D42,'القوائم'!$A$5:$B$8,2,FALSE),0)+IFERROR(VLOOKUP($E42,'القوائم'!$C$5:$D$7,2,FALSE),0)+IF($F42&gt;='القوائم'!$N$6,2,IF($F42&gt;0,1,0))+IFERROR(VLOOKUP($G42,'القوائم'!$E$5:$F$7,2,FALSE),0)+IFERROR(VLOOKUP($H42,'القوائم'!$G$5:$H$7,2,FALSE),0))</f>
        <v/>
      </c>
      <c r="J42" s="7" t="n"/>
      <c r="K42" s="5" t="n"/>
      <c r="L42" s="5" t="n"/>
      <c r="M42" s="5" t="n"/>
      <c r="N42" s="11">
        <f>IF($A42="","",IF(COUNTIFS('مقدّمو الطلبات'!$A$5:$A$204,$A42,'مقدّمو الطلبات'!$J$5:$J$204,"&lt;&gt;")=0,"",SUMPRODUCT(MAX(('مقدّمو الطلبات'!$A$5:$A$204=$A42)*'مقدّمو الطلبات'!$J$5:$J$204))))</f>
        <v/>
      </c>
      <c r="O42" s="6">
        <f>IF($A42="","",COUNTIFS('مقدّمو الطلبات'!$A$5:$A$204,$A42,'مقدّمو الطلبات'!$K$5:$K$204,"لا"))</f>
        <v/>
      </c>
      <c r="P42" s="12">
        <f>IF($A42="","",IF($C42=0,"بلا مقدّمي طلب",IF($J42="","بلا قرار",IF($O42&gt;0,"ردود مستحقة",IF(OR($J42="غير مخطط لها",$J42="أُطلقت"),"مغلق","مفتوح")))))</f>
        <v/>
      </c>
      <c r="Q42" s="5" t="n"/>
      <c r="R42">
        <f>IF(ISNUMBER($I42),$I42+(1000-ROW())/100000,"")</f>
        <v/>
      </c>
    </row>
    <row r="43">
      <c r="A43" s="4" t="n"/>
      <c r="B43" s="5" t="n"/>
      <c r="C43" s="6">
        <f>IF($A43="","",COUNTIF('مقدّمو الطلبات'!$A$5:$A$204,$A43))</f>
        <v/>
      </c>
      <c r="D43" s="7" t="n"/>
      <c r="E43" s="5" t="n"/>
      <c r="F43" s="8">
        <f>IF($A43="","",SUMIFS('مقدّمو الطلبات'!$F$5:$F$204,'مقدّمو الطلبات'!$A$5:$A$204,$A43,'مقدّمو الطلبات'!$G$5:$G$204,"نعم"))</f>
        <v/>
      </c>
      <c r="G43" s="9" t="n"/>
      <c r="H43" s="9" t="n"/>
      <c r="I43" s="10">
        <f>IF(OR($A43="",$D43="",$E43="",$G43="",$H43=""),"",MIN($C43,'القوائم'!$N$5)+IFERROR(VLOOKUP($D43,'القوائم'!$A$5:$B$8,2,FALSE),0)+IFERROR(VLOOKUP($E43,'القوائم'!$C$5:$D$7,2,FALSE),0)+IF($F43&gt;='القوائم'!$N$6,2,IF($F43&gt;0,1,0))+IFERROR(VLOOKUP($G43,'القوائم'!$E$5:$F$7,2,FALSE),0)+IFERROR(VLOOKUP($H43,'القوائم'!$G$5:$H$7,2,FALSE),0))</f>
        <v/>
      </c>
      <c r="J43" s="7" t="n"/>
      <c r="K43" s="5" t="n"/>
      <c r="L43" s="5" t="n"/>
      <c r="M43" s="5" t="n"/>
      <c r="N43" s="11">
        <f>IF($A43="","",IF(COUNTIFS('مقدّمو الطلبات'!$A$5:$A$204,$A43,'مقدّمو الطلبات'!$J$5:$J$204,"&lt;&gt;")=0,"",SUMPRODUCT(MAX(('مقدّمو الطلبات'!$A$5:$A$204=$A43)*'مقدّمو الطلبات'!$J$5:$J$204))))</f>
        <v/>
      </c>
      <c r="O43" s="6">
        <f>IF($A43="","",COUNTIFS('مقدّمو الطلبات'!$A$5:$A$204,$A43,'مقدّمو الطلبات'!$K$5:$K$204,"لا"))</f>
        <v/>
      </c>
      <c r="P43" s="12">
        <f>IF($A43="","",IF($C43=0,"بلا مقدّمي طلب",IF($J43="","بلا قرار",IF($O43&gt;0,"ردود مستحقة",IF(OR($J43="غير مخطط لها",$J43="أُطلقت"),"مغلق","مفتوح")))))</f>
        <v/>
      </c>
      <c r="Q43" s="5" t="n"/>
      <c r="R43">
        <f>IF(ISNUMBER($I43),$I43+(1000-ROW())/100000,"")</f>
        <v/>
      </c>
    </row>
    <row r="44">
      <c r="A44" s="4" t="n"/>
      <c r="B44" s="5" t="n"/>
      <c r="C44" s="6">
        <f>IF($A44="","",COUNTIF('مقدّمو الطلبات'!$A$5:$A$204,$A44))</f>
        <v/>
      </c>
      <c r="D44" s="7" t="n"/>
      <c r="E44" s="5" t="n"/>
      <c r="F44" s="8">
        <f>IF($A44="","",SUMIFS('مقدّمو الطلبات'!$F$5:$F$204,'مقدّمو الطلبات'!$A$5:$A$204,$A44,'مقدّمو الطلبات'!$G$5:$G$204,"نعم"))</f>
        <v/>
      </c>
      <c r="G44" s="9" t="n"/>
      <c r="H44" s="9" t="n"/>
      <c r="I44" s="10">
        <f>IF(OR($A44="",$D44="",$E44="",$G44="",$H44=""),"",MIN($C44,'القوائم'!$N$5)+IFERROR(VLOOKUP($D44,'القوائم'!$A$5:$B$8,2,FALSE),0)+IFERROR(VLOOKUP($E44,'القوائم'!$C$5:$D$7,2,FALSE),0)+IF($F44&gt;='القوائم'!$N$6,2,IF($F44&gt;0,1,0))+IFERROR(VLOOKUP($G44,'القوائم'!$E$5:$F$7,2,FALSE),0)+IFERROR(VLOOKUP($H44,'القوائم'!$G$5:$H$7,2,FALSE),0))</f>
        <v/>
      </c>
      <c r="J44" s="7" t="n"/>
      <c r="K44" s="5" t="n"/>
      <c r="L44" s="5" t="n"/>
      <c r="M44" s="5" t="n"/>
      <c r="N44" s="11">
        <f>IF($A44="","",IF(COUNTIFS('مقدّمو الطلبات'!$A$5:$A$204,$A44,'مقدّمو الطلبات'!$J$5:$J$204,"&lt;&gt;")=0,"",SUMPRODUCT(MAX(('مقدّمو الطلبات'!$A$5:$A$204=$A44)*'مقدّمو الطلبات'!$J$5:$J$204))))</f>
        <v/>
      </c>
      <c r="O44" s="6">
        <f>IF($A44="","",COUNTIFS('مقدّمو الطلبات'!$A$5:$A$204,$A44,'مقدّمو الطلبات'!$K$5:$K$204,"لا"))</f>
        <v/>
      </c>
      <c r="P44" s="12">
        <f>IF($A44="","",IF($C44=0,"بلا مقدّمي طلب",IF($J44="","بلا قرار",IF($O44&gt;0,"ردود مستحقة",IF(OR($J44="غير مخطط لها",$J44="أُطلقت"),"مغلق","مفتوح")))))</f>
        <v/>
      </c>
      <c r="Q44" s="5" t="n"/>
      <c r="R44">
        <f>IF(ISNUMBER($I44),$I44+(1000-ROW())/100000,"")</f>
        <v/>
      </c>
    </row>
    <row r="45">
      <c r="A45" s="4" t="n"/>
      <c r="B45" s="5" t="n"/>
      <c r="C45" s="6">
        <f>IF($A45="","",COUNTIF('مقدّمو الطلبات'!$A$5:$A$204,$A45))</f>
        <v/>
      </c>
      <c r="D45" s="7" t="n"/>
      <c r="E45" s="5" t="n"/>
      <c r="F45" s="8">
        <f>IF($A45="","",SUMIFS('مقدّمو الطلبات'!$F$5:$F$204,'مقدّمو الطلبات'!$A$5:$A$204,$A45,'مقدّمو الطلبات'!$G$5:$G$204,"نعم"))</f>
        <v/>
      </c>
      <c r="G45" s="9" t="n"/>
      <c r="H45" s="9" t="n"/>
      <c r="I45" s="10">
        <f>IF(OR($A45="",$D45="",$E45="",$G45="",$H45=""),"",MIN($C45,'القوائم'!$N$5)+IFERROR(VLOOKUP($D45,'القوائم'!$A$5:$B$8,2,FALSE),0)+IFERROR(VLOOKUP($E45,'القوائم'!$C$5:$D$7,2,FALSE),0)+IF($F45&gt;='القوائم'!$N$6,2,IF($F45&gt;0,1,0))+IFERROR(VLOOKUP($G45,'القوائم'!$E$5:$F$7,2,FALSE),0)+IFERROR(VLOOKUP($H45,'القوائم'!$G$5:$H$7,2,FALSE),0))</f>
        <v/>
      </c>
      <c r="J45" s="7" t="n"/>
      <c r="K45" s="5" t="n"/>
      <c r="L45" s="5" t="n"/>
      <c r="M45" s="5" t="n"/>
      <c r="N45" s="11">
        <f>IF($A45="","",IF(COUNTIFS('مقدّمو الطلبات'!$A$5:$A$204,$A45,'مقدّمو الطلبات'!$J$5:$J$204,"&lt;&gt;")=0,"",SUMPRODUCT(MAX(('مقدّمو الطلبات'!$A$5:$A$204=$A45)*'مقدّمو الطلبات'!$J$5:$J$204))))</f>
        <v/>
      </c>
      <c r="O45" s="6">
        <f>IF($A45="","",COUNTIFS('مقدّمو الطلبات'!$A$5:$A$204,$A45,'مقدّمو الطلبات'!$K$5:$K$204,"لا"))</f>
        <v/>
      </c>
      <c r="P45" s="12">
        <f>IF($A45="","",IF($C45=0,"بلا مقدّمي طلب",IF($J45="","بلا قرار",IF($O45&gt;0,"ردود مستحقة",IF(OR($J45="غير مخطط لها",$J45="أُطلقت"),"مغلق","مفتوح")))))</f>
        <v/>
      </c>
      <c r="Q45" s="5" t="n"/>
      <c r="R45">
        <f>IF(ISNUMBER($I45),$I45+(1000-ROW())/100000,"")</f>
        <v/>
      </c>
    </row>
    <row r="46">
      <c r="A46" s="4" t="n"/>
      <c r="B46" s="5" t="n"/>
      <c r="C46" s="6">
        <f>IF($A46="","",COUNTIF('مقدّمو الطلبات'!$A$5:$A$204,$A46))</f>
        <v/>
      </c>
      <c r="D46" s="7" t="n"/>
      <c r="E46" s="5" t="n"/>
      <c r="F46" s="8">
        <f>IF($A46="","",SUMIFS('مقدّمو الطلبات'!$F$5:$F$204,'مقدّمو الطلبات'!$A$5:$A$204,$A46,'مقدّمو الطلبات'!$G$5:$G$204,"نعم"))</f>
        <v/>
      </c>
      <c r="G46" s="9" t="n"/>
      <c r="H46" s="9" t="n"/>
      <c r="I46" s="10">
        <f>IF(OR($A46="",$D46="",$E46="",$G46="",$H46=""),"",MIN($C46,'القوائم'!$N$5)+IFERROR(VLOOKUP($D46,'القوائم'!$A$5:$B$8,2,FALSE),0)+IFERROR(VLOOKUP($E46,'القوائم'!$C$5:$D$7,2,FALSE),0)+IF($F46&gt;='القوائم'!$N$6,2,IF($F46&gt;0,1,0))+IFERROR(VLOOKUP($G46,'القوائم'!$E$5:$F$7,2,FALSE),0)+IFERROR(VLOOKUP($H46,'القوائم'!$G$5:$H$7,2,FALSE),0))</f>
        <v/>
      </c>
      <c r="J46" s="7" t="n"/>
      <c r="K46" s="5" t="n"/>
      <c r="L46" s="5" t="n"/>
      <c r="M46" s="5" t="n"/>
      <c r="N46" s="11">
        <f>IF($A46="","",IF(COUNTIFS('مقدّمو الطلبات'!$A$5:$A$204,$A46,'مقدّمو الطلبات'!$J$5:$J$204,"&lt;&gt;")=0,"",SUMPRODUCT(MAX(('مقدّمو الطلبات'!$A$5:$A$204=$A46)*'مقدّمو الطلبات'!$J$5:$J$204))))</f>
        <v/>
      </c>
      <c r="O46" s="6">
        <f>IF($A46="","",COUNTIFS('مقدّمو الطلبات'!$A$5:$A$204,$A46,'مقدّمو الطلبات'!$K$5:$K$204,"لا"))</f>
        <v/>
      </c>
      <c r="P46" s="12">
        <f>IF($A46="","",IF($C46=0,"بلا مقدّمي طلب",IF($J46="","بلا قرار",IF($O46&gt;0,"ردود مستحقة",IF(OR($J46="غير مخطط لها",$J46="أُطلقت"),"مغلق","مفتوح")))))</f>
        <v/>
      </c>
      <c r="Q46" s="5" t="n"/>
      <c r="R46">
        <f>IF(ISNUMBER($I46),$I46+(1000-ROW())/100000,"")</f>
        <v/>
      </c>
    </row>
    <row r="47">
      <c r="A47" s="4" t="n"/>
      <c r="B47" s="5" t="n"/>
      <c r="C47" s="6">
        <f>IF($A47="","",COUNTIF('مقدّمو الطلبات'!$A$5:$A$204,$A47))</f>
        <v/>
      </c>
      <c r="D47" s="7" t="n"/>
      <c r="E47" s="5" t="n"/>
      <c r="F47" s="8">
        <f>IF($A47="","",SUMIFS('مقدّمو الطلبات'!$F$5:$F$204,'مقدّمو الطلبات'!$A$5:$A$204,$A47,'مقدّمو الطلبات'!$G$5:$G$204,"نعم"))</f>
        <v/>
      </c>
      <c r="G47" s="9" t="n"/>
      <c r="H47" s="9" t="n"/>
      <c r="I47" s="10">
        <f>IF(OR($A47="",$D47="",$E47="",$G47="",$H47=""),"",MIN($C47,'القوائم'!$N$5)+IFERROR(VLOOKUP($D47,'القوائم'!$A$5:$B$8,2,FALSE),0)+IFERROR(VLOOKUP($E47,'القوائم'!$C$5:$D$7,2,FALSE),0)+IF($F47&gt;='القوائم'!$N$6,2,IF($F47&gt;0,1,0))+IFERROR(VLOOKUP($G47,'القوائم'!$E$5:$F$7,2,FALSE),0)+IFERROR(VLOOKUP($H47,'القوائم'!$G$5:$H$7,2,FALSE),0))</f>
        <v/>
      </c>
      <c r="J47" s="7" t="n"/>
      <c r="K47" s="5" t="n"/>
      <c r="L47" s="5" t="n"/>
      <c r="M47" s="5" t="n"/>
      <c r="N47" s="11">
        <f>IF($A47="","",IF(COUNTIFS('مقدّمو الطلبات'!$A$5:$A$204,$A47,'مقدّمو الطلبات'!$J$5:$J$204,"&lt;&gt;")=0,"",SUMPRODUCT(MAX(('مقدّمو الطلبات'!$A$5:$A$204=$A47)*'مقدّمو الطلبات'!$J$5:$J$204))))</f>
        <v/>
      </c>
      <c r="O47" s="6">
        <f>IF($A47="","",COUNTIFS('مقدّمو الطلبات'!$A$5:$A$204,$A47,'مقدّمو الطلبات'!$K$5:$K$204,"لا"))</f>
        <v/>
      </c>
      <c r="P47" s="12">
        <f>IF($A47="","",IF($C47=0,"بلا مقدّمي طلب",IF($J47="","بلا قرار",IF($O47&gt;0,"ردود مستحقة",IF(OR($J47="غير مخطط لها",$J47="أُطلقت"),"مغلق","مفتوح")))))</f>
        <v/>
      </c>
      <c r="Q47" s="5" t="n"/>
      <c r="R47">
        <f>IF(ISNUMBER($I47),$I47+(1000-ROW())/100000,"")</f>
        <v/>
      </c>
    </row>
    <row r="48">
      <c r="A48" s="4" t="n"/>
      <c r="B48" s="5" t="n"/>
      <c r="C48" s="6">
        <f>IF($A48="","",COUNTIF('مقدّمو الطلبات'!$A$5:$A$204,$A48))</f>
        <v/>
      </c>
      <c r="D48" s="7" t="n"/>
      <c r="E48" s="5" t="n"/>
      <c r="F48" s="8">
        <f>IF($A48="","",SUMIFS('مقدّمو الطلبات'!$F$5:$F$204,'مقدّمو الطلبات'!$A$5:$A$204,$A48,'مقدّمو الطلبات'!$G$5:$G$204,"نعم"))</f>
        <v/>
      </c>
      <c r="G48" s="9" t="n"/>
      <c r="H48" s="9" t="n"/>
      <c r="I48" s="10">
        <f>IF(OR($A48="",$D48="",$E48="",$G48="",$H48=""),"",MIN($C48,'القوائم'!$N$5)+IFERROR(VLOOKUP($D48,'القوائم'!$A$5:$B$8,2,FALSE),0)+IFERROR(VLOOKUP($E48,'القوائم'!$C$5:$D$7,2,FALSE),0)+IF($F48&gt;='القوائم'!$N$6,2,IF($F48&gt;0,1,0))+IFERROR(VLOOKUP($G48,'القوائم'!$E$5:$F$7,2,FALSE),0)+IFERROR(VLOOKUP($H48,'القوائم'!$G$5:$H$7,2,FALSE),0))</f>
        <v/>
      </c>
      <c r="J48" s="7" t="n"/>
      <c r="K48" s="5" t="n"/>
      <c r="L48" s="5" t="n"/>
      <c r="M48" s="5" t="n"/>
      <c r="N48" s="11">
        <f>IF($A48="","",IF(COUNTIFS('مقدّمو الطلبات'!$A$5:$A$204,$A48,'مقدّمو الطلبات'!$J$5:$J$204,"&lt;&gt;")=0,"",SUMPRODUCT(MAX(('مقدّمو الطلبات'!$A$5:$A$204=$A48)*'مقدّمو الطلبات'!$J$5:$J$204))))</f>
        <v/>
      </c>
      <c r="O48" s="6">
        <f>IF($A48="","",COUNTIFS('مقدّمو الطلبات'!$A$5:$A$204,$A48,'مقدّمو الطلبات'!$K$5:$K$204,"لا"))</f>
        <v/>
      </c>
      <c r="P48" s="12">
        <f>IF($A48="","",IF($C48=0,"بلا مقدّمي طلب",IF($J48="","بلا قرار",IF($O48&gt;0,"ردود مستحقة",IF(OR($J48="غير مخطط لها",$J48="أُطلقت"),"مغلق","مفتوح")))))</f>
        <v/>
      </c>
      <c r="Q48" s="5" t="n"/>
      <c r="R48">
        <f>IF(ISNUMBER($I48),$I48+(1000-ROW())/100000,"")</f>
        <v/>
      </c>
    </row>
    <row r="49">
      <c r="A49" s="4" t="n"/>
      <c r="B49" s="5" t="n"/>
      <c r="C49" s="6">
        <f>IF($A49="","",COUNTIF('مقدّمو الطلبات'!$A$5:$A$204,$A49))</f>
        <v/>
      </c>
      <c r="D49" s="7" t="n"/>
      <c r="E49" s="5" t="n"/>
      <c r="F49" s="8">
        <f>IF($A49="","",SUMIFS('مقدّمو الطلبات'!$F$5:$F$204,'مقدّمو الطلبات'!$A$5:$A$204,$A49,'مقدّمو الطلبات'!$G$5:$G$204,"نعم"))</f>
        <v/>
      </c>
      <c r="G49" s="9" t="n"/>
      <c r="H49" s="9" t="n"/>
      <c r="I49" s="10">
        <f>IF(OR($A49="",$D49="",$E49="",$G49="",$H49=""),"",MIN($C49,'القوائم'!$N$5)+IFERROR(VLOOKUP($D49,'القوائم'!$A$5:$B$8,2,FALSE),0)+IFERROR(VLOOKUP($E49,'القوائم'!$C$5:$D$7,2,FALSE),0)+IF($F49&gt;='القوائم'!$N$6,2,IF($F49&gt;0,1,0))+IFERROR(VLOOKUP($G49,'القوائم'!$E$5:$F$7,2,FALSE),0)+IFERROR(VLOOKUP($H49,'القوائم'!$G$5:$H$7,2,FALSE),0))</f>
        <v/>
      </c>
      <c r="J49" s="7" t="n"/>
      <c r="K49" s="5" t="n"/>
      <c r="L49" s="5" t="n"/>
      <c r="M49" s="5" t="n"/>
      <c r="N49" s="11">
        <f>IF($A49="","",IF(COUNTIFS('مقدّمو الطلبات'!$A$5:$A$204,$A49,'مقدّمو الطلبات'!$J$5:$J$204,"&lt;&gt;")=0,"",SUMPRODUCT(MAX(('مقدّمو الطلبات'!$A$5:$A$204=$A49)*'مقدّمو الطلبات'!$J$5:$J$204))))</f>
        <v/>
      </c>
      <c r="O49" s="6">
        <f>IF($A49="","",COUNTIFS('مقدّمو الطلبات'!$A$5:$A$204,$A49,'مقدّمو الطلبات'!$K$5:$K$204,"لا"))</f>
        <v/>
      </c>
      <c r="P49" s="12">
        <f>IF($A49="","",IF($C49=0,"بلا مقدّمي طلب",IF($J49="","بلا قرار",IF($O49&gt;0,"ردود مستحقة",IF(OR($J49="غير مخطط لها",$J49="أُطلقت"),"مغلق","مفتوح")))))</f>
        <v/>
      </c>
      <c r="Q49" s="5" t="n"/>
      <c r="R49">
        <f>IF(ISNUMBER($I49),$I49+(1000-ROW())/100000,"")</f>
        <v/>
      </c>
    </row>
    <row r="50">
      <c r="A50" s="4" t="n"/>
      <c r="B50" s="5" t="n"/>
      <c r="C50" s="6">
        <f>IF($A50="","",COUNTIF('مقدّمو الطلبات'!$A$5:$A$204,$A50))</f>
        <v/>
      </c>
      <c r="D50" s="7" t="n"/>
      <c r="E50" s="5" t="n"/>
      <c r="F50" s="8">
        <f>IF($A50="","",SUMIFS('مقدّمو الطلبات'!$F$5:$F$204,'مقدّمو الطلبات'!$A$5:$A$204,$A50,'مقدّمو الطلبات'!$G$5:$G$204,"نعم"))</f>
        <v/>
      </c>
      <c r="G50" s="9" t="n"/>
      <c r="H50" s="9" t="n"/>
      <c r="I50" s="10">
        <f>IF(OR($A50="",$D50="",$E50="",$G50="",$H50=""),"",MIN($C50,'القوائم'!$N$5)+IFERROR(VLOOKUP($D50,'القوائم'!$A$5:$B$8,2,FALSE),0)+IFERROR(VLOOKUP($E50,'القوائم'!$C$5:$D$7,2,FALSE),0)+IF($F50&gt;='القوائم'!$N$6,2,IF($F50&gt;0,1,0))+IFERROR(VLOOKUP($G50,'القوائم'!$E$5:$F$7,2,FALSE),0)+IFERROR(VLOOKUP($H50,'القوائم'!$G$5:$H$7,2,FALSE),0))</f>
        <v/>
      </c>
      <c r="J50" s="7" t="n"/>
      <c r="K50" s="5" t="n"/>
      <c r="L50" s="5" t="n"/>
      <c r="M50" s="5" t="n"/>
      <c r="N50" s="11">
        <f>IF($A50="","",IF(COUNTIFS('مقدّمو الطلبات'!$A$5:$A$204,$A50,'مقدّمو الطلبات'!$J$5:$J$204,"&lt;&gt;")=0,"",SUMPRODUCT(MAX(('مقدّمو الطلبات'!$A$5:$A$204=$A50)*'مقدّمو الطلبات'!$J$5:$J$204))))</f>
        <v/>
      </c>
      <c r="O50" s="6">
        <f>IF($A50="","",COUNTIFS('مقدّمو الطلبات'!$A$5:$A$204,$A50,'مقدّمو الطلبات'!$K$5:$K$204,"لا"))</f>
        <v/>
      </c>
      <c r="P50" s="12">
        <f>IF($A50="","",IF($C50=0,"بلا مقدّمي طلب",IF($J50="","بلا قرار",IF($O50&gt;0,"ردود مستحقة",IF(OR($J50="غير مخطط لها",$J50="أُطلقت"),"مغلق","مفتوح")))))</f>
        <v/>
      </c>
      <c r="Q50" s="5" t="n"/>
      <c r="R50">
        <f>IF(ISNUMBER($I50),$I50+(1000-ROW())/100000,"")</f>
        <v/>
      </c>
    </row>
    <row r="51">
      <c r="A51" s="4" t="n"/>
      <c r="B51" s="5" t="n"/>
      <c r="C51" s="6">
        <f>IF($A51="","",COUNTIF('مقدّمو الطلبات'!$A$5:$A$204,$A51))</f>
        <v/>
      </c>
      <c r="D51" s="7" t="n"/>
      <c r="E51" s="5" t="n"/>
      <c r="F51" s="8">
        <f>IF($A51="","",SUMIFS('مقدّمو الطلبات'!$F$5:$F$204,'مقدّمو الطلبات'!$A$5:$A$204,$A51,'مقدّمو الطلبات'!$G$5:$G$204,"نعم"))</f>
        <v/>
      </c>
      <c r="G51" s="9" t="n"/>
      <c r="H51" s="9" t="n"/>
      <c r="I51" s="10">
        <f>IF(OR($A51="",$D51="",$E51="",$G51="",$H51=""),"",MIN($C51,'القوائم'!$N$5)+IFERROR(VLOOKUP($D51,'القوائم'!$A$5:$B$8,2,FALSE),0)+IFERROR(VLOOKUP($E51,'القوائم'!$C$5:$D$7,2,FALSE),0)+IF($F51&gt;='القوائم'!$N$6,2,IF($F51&gt;0,1,0))+IFERROR(VLOOKUP($G51,'القوائم'!$E$5:$F$7,2,FALSE),0)+IFERROR(VLOOKUP($H51,'القوائم'!$G$5:$H$7,2,FALSE),0))</f>
        <v/>
      </c>
      <c r="J51" s="7" t="n"/>
      <c r="K51" s="5" t="n"/>
      <c r="L51" s="5" t="n"/>
      <c r="M51" s="5" t="n"/>
      <c r="N51" s="11">
        <f>IF($A51="","",IF(COUNTIFS('مقدّمو الطلبات'!$A$5:$A$204,$A51,'مقدّمو الطلبات'!$J$5:$J$204,"&lt;&gt;")=0,"",SUMPRODUCT(MAX(('مقدّمو الطلبات'!$A$5:$A$204=$A51)*'مقدّمو الطلبات'!$J$5:$J$204))))</f>
        <v/>
      </c>
      <c r="O51" s="6">
        <f>IF($A51="","",COUNTIFS('مقدّمو الطلبات'!$A$5:$A$204,$A51,'مقدّمو الطلبات'!$K$5:$K$204,"لا"))</f>
        <v/>
      </c>
      <c r="P51" s="12">
        <f>IF($A51="","",IF($C51=0,"بلا مقدّمي طلب",IF($J51="","بلا قرار",IF($O51&gt;0,"ردود مستحقة",IF(OR($J51="غير مخطط لها",$J51="أُطلقت"),"مغلق","مفتوح")))))</f>
        <v/>
      </c>
      <c r="Q51" s="5" t="n"/>
      <c r="R51">
        <f>IF(ISNUMBER($I51),$I51+(1000-ROW())/100000,"")</f>
        <v/>
      </c>
    </row>
    <row r="52">
      <c r="A52" s="4" t="n"/>
      <c r="B52" s="5" t="n"/>
      <c r="C52" s="6">
        <f>IF($A52="","",COUNTIF('مقدّمو الطلبات'!$A$5:$A$204,$A52))</f>
        <v/>
      </c>
      <c r="D52" s="7" t="n"/>
      <c r="E52" s="5" t="n"/>
      <c r="F52" s="8">
        <f>IF($A52="","",SUMIFS('مقدّمو الطلبات'!$F$5:$F$204,'مقدّمو الطلبات'!$A$5:$A$204,$A52,'مقدّمو الطلبات'!$G$5:$G$204,"نعم"))</f>
        <v/>
      </c>
      <c r="G52" s="9" t="n"/>
      <c r="H52" s="9" t="n"/>
      <c r="I52" s="10">
        <f>IF(OR($A52="",$D52="",$E52="",$G52="",$H52=""),"",MIN($C52,'القوائم'!$N$5)+IFERROR(VLOOKUP($D52,'القوائم'!$A$5:$B$8,2,FALSE),0)+IFERROR(VLOOKUP($E52,'القوائم'!$C$5:$D$7,2,FALSE),0)+IF($F52&gt;='القوائم'!$N$6,2,IF($F52&gt;0,1,0))+IFERROR(VLOOKUP($G52,'القوائم'!$E$5:$F$7,2,FALSE),0)+IFERROR(VLOOKUP($H52,'القوائم'!$G$5:$H$7,2,FALSE),0))</f>
        <v/>
      </c>
      <c r="J52" s="7" t="n"/>
      <c r="K52" s="5" t="n"/>
      <c r="L52" s="5" t="n"/>
      <c r="M52" s="5" t="n"/>
      <c r="N52" s="11">
        <f>IF($A52="","",IF(COUNTIFS('مقدّمو الطلبات'!$A$5:$A$204,$A52,'مقدّمو الطلبات'!$J$5:$J$204,"&lt;&gt;")=0,"",SUMPRODUCT(MAX(('مقدّمو الطلبات'!$A$5:$A$204=$A52)*'مقدّمو الطلبات'!$J$5:$J$204))))</f>
        <v/>
      </c>
      <c r="O52" s="6">
        <f>IF($A52="","",COUNTIFS('مقدّمو الطلبات'!$A$5:$A$204,$A52,'مقدّمو الطلبات'!$K$5:$K$204,"لا"))</f>
        <v/>
      </c>
      <c r="P52" s="12">
        <f>IF($A52="","",IF($C52=0,"بلا مقدّمي طلب",IF($J52="","بلا قرار",IF($O52&gt;0,"ردود مستحقة",IF(OR($J52="غير مخطط لها",$J52="أُطلقت"),"مغلق","مفتوح")))))</f>
        <v/>
      </c>
      <c r="Q52" s="5" t="n"/>
      <c r="R52">
        <f>IF(ISNUMBER($I52),$I52+(1000-ROW())/100000,"")</f>
        <v/>
      </c>
    </row>
    <row r="53">
      <c r="A53" s="4" t="n"/>
      <c r="B53" s="5" t="n"/>
      <c r="C53" s="6">
        <f>IF($A53="","",COUNTIF('مقدّمو الطلبات'!$A$5:$A$204,$A53))</f>
        <v/>
      </c>
      <c r="D53" s="7" t="n"/>
      <c r="E53" s="5" t="n"/>
      <c r="F53" s="8">
        <f>IF($A53="","",SUMIFS('مقدّمو الطلبات'!$F$5:$F$204,'مقدّمو الطلبات'!$A$5:$A$204,$A53,'مقدّمو الطلبات'!$G$5:$G$204,"نعم"))</f>
        <v/>
      </c>
      <c r="G53" s="9" t="n"/>
      <c r="H53" s="9" t="n"/>
      <c r="I53" s="10">
        <f>IF(OR($A53="",$D53="",$E53="",$G53="",$H53=""),"",MIN($C53,'القوائم'!$N$5)+IFERROR(VLOOKUP($D53,'القوائم'!$A$5:$B$8,2,FALSE),0)+IFERROR(VLOOKUP($E53,'القوائم'!$C$5:$D$7,2,FALSE),0)+IF($F53&gt;='القوائم'!$N$6,2,IF($F53&gt;0,1,0))+IFERROR(VLOOKUP($G53,'القوائم'!$E$5:$F$7,2,FALSE),0)+IFERROR(VLOOKUP($H53,'القوائم'!$G$5:$H$7,2,FALSE),0))</f>
        <v/>
      </c>
      <c r="J53" s="7" t="n"/>
      <c r="K53" s="5" t="n"/>
      <c r="L53" s="5" t="n"/>
      <c r="M53" s="5" t="n"/>
      <c r="N53" s="11">
        <f>IF($A53="","",IF(COUNTIFS('مقدّمو الطلبات'!$A$5:$A$204,$A53,'مقدّمو الطلبات'!$J$5:$J$204,"&lt;&gt;")=0,"",SUMPRODUCT(MAX(('مقدّمو الطلبات'!$A$5:$A$204=$A53)*'مقدّمو الطلبات'!$J$5:$J$204))))</f>
        <v/>
      </c>
      <c r="O53" s="6">
        <f>IF($A53="","",COUNTIFS('مقدّمو الطلبات'!$A$5:$A$204,$A53,'مقدّمو الطلبات'!$K$5:$K$204,"لا"))</f>
        <v/>
      </c>
      <c r="P53" s="12">
        <f>IF($A53="","",IF($C53=0,"بلا مقدّمي طلب",IF($J53="","بلا قرار",IF($O53&gt;0,"ردود مستحقة",IF(OR($J53="غير مخطط لها",$J53="أُطلقت"),"مغلق","مفتوح")))))</f>
        <v/>
      </c>
      <c r="Q53" s="5" t="n"/>
      <c r="R53">
        <f>IF(ISNUMBER($I53),$I53+(1000-ROW())/100000,"")</f>
        <v/>
      </c>
    </row>
    <row r="54">
      <c r="A54" s="4" t="n"/>
      <c r="B54" s="5" t="n"/>
      <c r="C54" s="6">
        <f>IF($A54="","",COUNTIF('مقدّمو الطلبات'!$A$5:$A$204,$A54))</f>
        <v/>
      </c>
      <c r="D54" s="7" t="n"/>
      <c r="E54" s="5" t="n"/>
      <c r="F54" s="8">
        <f>IF($A54="","",SUMIFS('مقدّمو الطلبات'!$F$5:$F$204,'مقدّمو الطلبات'!$A$5:$A$204,$A54,'مقدّمو الطلبات'!$G$5:$G$204,"نعم"))</f>
        <v/>
      </c>
      <c r="G54" s="9" t="n"/>
      <c r="H54" s="9" t="n"/>
      <c r="I54" s="10">
        <f>IF(OR($A54="",$D54="",$E54="",$G54="",$H54=""),"",MIN($C54,'القوائم'!$N$5)+IFERROR(VLOOKUP($D54,'القوائم'!$A$5:$B$8,2,FALSE),0)+IFERROR(VLOOKUP($E54,'القوائم'!$C$5:$D$7,2,FALSE),0)+IF($F54&gt;='القوائم'!$N$6,2,IF($F54&gt;0,1,0))+IFERROR(VLOOKUP($G54,'القوائم'!$E$5:$F$7,2,FALSE),0)+IFERROR(VLOOKUP($H54,'القوائم'!$G$5:$H$7,2,FALSE),0))</f>
        <v/>
      </c>
      <c r="J54" s="7" t="n"/>
      <c r="K54" s="5" t="n"/>
      <c r="L54" s="5" t="n"/>
      <c r="M54" s="5" t="n"/>
      <c r="N54" s="11">
        <f>IF($A54="","",IF(COUNTIFS('مقدّمو الطلبات'!$A$5:$A$204,$A54,'مقدّمو الطلبات'!$J$5:$J$204,"&lt;&gt;")=0,"",SUMPRODUCT(MAX(('مقدّمو الطلبات'!$A$5:$A$204=$A54)*'مقدّمو الطلبات'!$J$5:$J$204))))</f>
        <v/>
      </c>
      <c r="O54" s="6">
        <f>IF($A54="","",COUNTIFS('مقدّمو الطلبات'!$A$5:$A$204,$A54,'مقدّمو الطلبات'!$K$5:$K$204,"لا"))</f>
        <v/>
      </c>
      <c r="P54" s="12">
        <f>IF($A54="","",IF($C54=0,"بلا مقدّمي طلب",IF($J54="","بلا قرار",IF($O54&gt;0,"ردود مستحقة",IF(OR($J54="غير مخطط لها",$J54="أُطلقت"),"مغلق","مفتوح")))))</f>
        <v/>
      </c>
      <c r="Q54" s="5" t="n"/>
      <c r="R54">
        <f>IF(ISNUMBER($I54),$I54+(1000-ROW())/100000,"")</f>
        <v/>
      </c>
    </row>
    <row r="55">
      <c r="A55" s="4" t="n"/>
      <c r="B55" s="5" t="n"/>
      <c r="C55" s="6">
        <f>IF($A55="","",COUNTIF('مقدّمو الطلبات'!$A$5:$A$204,$A55))</f>
        <v/>
      </c>
      <c r="D55" s="7" t="n"/>
      <c r="E55" s="5" t="n"/>
      <c r="F55" s="8">
        <f>IF($A55="","",SUMIFS('مقدّمو الطلبات'!$F$5:$F$204,'مقدّمو الطلبات'!$A$5:$A$204,$A55,'مقدّمو الطلبات'!$G$5:$G$204,"نعم"))</f>
        <v/>
      </c>
      <c r="G55" s="9" t="n"/>
      <c r="H55" s="9" t="n"/>
      <c r="I55" s="10">
        <f>IF(OR($A55="",$D55="",$E55="",$G55="",$H55=""),"",MIN($C55,'القوائم'!$N$5)+IFERROR(VLOOKUP($D55,'القوائم'!$A$5:$B$8,2,FALSE),0)+IFERROR(VLOOKUP($E55,'القوائم'!$C$5:$D$7,2,FALSE),0)+IF($F55&gt;='القوائم'!$N$6,2,IF($F55&gt;0,1,0))+IFERROR(VLOOKUP($G55,'القوائم'!$E$5:$F$7,2,FALSE),0)+IFERROR(VLOOKUP($H55,'القوائم'!$G$5:$H$7,2,FALSE),0))</f>
        <v/>
      </c>
      <c r="J55" s="7" t="n"/>
      <c r="K55" s="5" t="n"/>
      <c r="L55" s="5" t="n"/>
      <c r="M55" s="5" t="n"/>
      <c r="N55" s="11">
        <f>IF($A55="","",IF(COUNTIFS('مقدّمو الطلبات'!$A$5:$A$204,$A55,'مقدّمو الطلبات'!$J$5:$J$204,"&lt;&gt;")=0,"",SUMPRODUCT(MAX(('مقدّمو الطلبات'!$A$5:$A$204=$A55)*'مقدّمو الطلبات'!$J$5:$J$204))))</f>
        <v/>
      </c>
      <c r="O55" s="6">
        <f>IF($A55="","",COUNTIFS('مقدّمو الطلبات'!$A$5:$A$204,$A55,'مقدّمو الطلبات'!$K$5:$K$204,"لا"))</f>
        <v/>
      </c>
      <c r="P55" s="12">
        <f>IF($A55="","",IF($C55=0,"بلا مقدّمي طلب",IF($J55="","بلا قرار",IF($O55&gt;0,"ردود مستحقة",IF(OR($J55="غير مخطط لها",$J55="أُطلقت"),"مغلق","مفتوح")))))</f>
        <v/>
      </c>
      <c r="Q55" s="5" t="n"/>
      <c r="R55">
        <f>IF(ISNUMBER($I55),$I55+(1000-ROW())/100000,"")</f>
        <v/>
      </c>
    </row>
    <row r="56">
      <c r="A56" s="4" t="n"/>
      <c r="B56" s="5" t="n"/>
      <c r="C56" s="6">
        <f>IF($A56="","",COUNTIF('مقدّمو الطلبات'!$A$5:$A$204,$A56))</f>
        <v/>
      </c>
      <c r="D56" s="7" t="n"/>
      <c r="E56" s="5" t="n"/>
      <c r="F56" s="8">
        <f>IF($A56="","",SUMIFS('مقدّمو الطلبات'!$F$5:$F$204,'مقدّمو الطلبات'!$A$5:$A$204,$A56,'مقدّمو الطلبات'!$G$5:$G$204,"نعم"))</f>
        <v/>
      </c>
      <c r="G56" s="9" t="n"/>
      <c r="H56" s="9" t="n"/>
      <c r="I56" s="10">
        <f>IF(OR($A56="",$D56="",$E56="",$G56="",$H56=""),"",MIN($C56,'القوائم'!$N$5)+IFERROR(VLOOKUP($D56,'القوائم'!$A$5:$B$8,2,FALSE),0)+IFERROR(VLOOKUP($E56,'القوائم'!$C$5:$D$7,2,FALSE),0)+IF($F56&gt;='القوائم'!$N$6,2,IF($F56&gt;0,1,0))+IFERROR(VLOOKUP($G56,'القوائم'!$E$5:$F$7,2,FALSE),0)+IFERROR(VLOOKUP($H56,'القوائم'!$G$5:$H$7,2,FALSE),0))</f>
        <v/>
      </c>
      <c r="J56" s="7" t="n"/>
      <c r="K56" s="5" t="n"/>
      <c r="L56" s="5" t="n"/>
      <c r="M56" s="5" t="n"/>
      <c r="N56" s="11">
        <f>IF($A56="","",IF(COUNTIFS('مقدّمو الطلبات'!$A$5:$A$204,$A56,'مقدّمو الطلبات'!$J$5:$J$204,"&lt;&gt;")=0,"",SUMPRODUCT(MAX(('مقدّمو الطلبات'!$A$5:$A$204=$A56)*'مقدّمو الطلبات'!$J$5:$J$204))))</f>
        <v/>
      </c>
      <c r="O56" s="6">
        <f>IF($A56="","",COUNTIFS('مقدّمو الطلبات'!$A$5:$A$204,$A56,'مقدّمو الطلبات'!$K$5:$K$204,"لا"))</f>
        <v/>
      </c>
      <c r="P56" s="12">
        <f>IF($A56="","",IF($C56=0,"بلا مقدّمي طلب",IF($J56="","بلا قرار",IF($O56&gt;0,"ردود مستحقة",IF(OR($J56="غير مخطط لها",$J56="أُطلقت"),"مغلق","مفتوح")))))</f>
        <v/>
      </c>
      <c r="Q56" s="5" t="n"/>
      <c r="R56">
        <f>IF(ISNUMBER($I56),$I56+(1000-ROW())/100000,"")</f>
        <v/>
      </c>
    </row>
    <row r="57">
      <c r="A57" s="4" t="n"/>
      <c r="B57" s="5" t="n"/>
      <c r="C57" s="6">
        <f>IF($A57="","",COUNTIF('مقدّمو الطلبات'!$A$5:$A$204,$A57))</f>
        <v/>
      </c>
      <c r="D57" s="7" t="n"/>
      <c r="E57" s="5" t="n"/>
      <c r="F57" s="8">
        <f>IF($A57="","",SUMIFS('مقدّمو الطلبات'!$F$5:$F$204,'مقدّمو الطلبات'!$A$5:$A$204,$A57,'مقدّمو الطلبات'!$G$5:$G$204,"نعم"))</f>
        <v/>
      </c>
      <c r="G57" s="9" t="n"/>
      <c r="H57" s="9" t="n"/>
      <c r="I57" s="10">
        <f>IF(OR($A57="",$D57="",$E57="",$G57="",$H57=""),"",MIN($C57,'القوائم'!$N$5)+IFERROR(VLOOKUP($D57,'القوائم'!$A$5:$B$8,2,FALSE),0)+IFERROR(VLOOKUP($E57,'القوائم'!$C$5:$D$7,2,FALSE),0)+IF($F57&gt;='القوائم'!$N$6,2,IF($F57&gt;0,1,0))+IFERROR(VLOOKUP($G57,'القوائم'!$E$5:$F$7,2,FALSE),0)+IFERROR(VLOOKUP($H57,'القوائم'!$G$5:$H$7,2,FALSE),0))</f>
        <v/>
      </c>
      <c r="J57" s="7" t="n"/>
      <c r="K57" s="5" t="n"/>
      <c r="L57" s="5" t="n"/>
      <c r="M57" s="5" t="n"/>
      <c r="N57" s="11">
        <f>IF($A57="","",IF(COUNTIFS('مقدّمو الطلبات'!$A$5:$A$204,$A57,'مقدّمو الطلبات'!$J$5:$J$204,"&lt;&gt;")=0,"",SUMPRODUCT(MAX(('مقدّمو الطلبات'!$A$5:$A$204=$A57)*'مقدّمو الطلبات'!$J$5:$J$204))))</f>
        <v/>
      </c>
      <c r="O57" s="6">
        <f>IF($A57="","",COUNTIFS('مقدّمو الطلبات'!$A$5:$A$204,$A57,'مقدّمو الطلبات'!$K$5:$K$204,"لا"))</f>
        <v/>
      </c>
      <c r="P57" s="12">
        <f>IF($A57="","",IF($C57=0,"بلا مقدّمي طلب",IF($J57="","بلا قرار",IF($O57&gt;0,"ردود مستحقة",IF(OR($J57="غير مخطط لها",$J57="أُطلقت"),"مغلق","مفتوح")))))</f>
        <v/>
      </c>
      <c r="Q57" s="5" t="n"/>
      <c r="R57">
        <f>IF(ISNUMBER($I57),$I57+(1000-ROW())/100000,"")</f>
        <v/>
      </c>
    </row>
    <row r="58">
      <c r="A58" s="4" t="n"/>
      <c r="B58" s="5" t="n"/>
      <c r="C58" s="6">
        <f>IF($A58="","",COUNTIF('مقدّمو الطلبات'!$A$5:$A$204,$A58))</f>
        <v/>
      </c>
      <c r="D58" s="7" t="n"/>
      <c r="E58" s="5" t="n"/>
      <c r="F58" s="8">
        <f>IF($A58="","",SUMIFS('مقدّمو الطلبات'!$F$5:$F$204,'مقدّمو الطلبات'!$A$5:$A$204,$A58,'مقدّمو الطلبات'!$G$5:$G$204,"نعم"))</f>
        <v/>
      </c>
      <c r="G58" s="9" t="n"/>
      <c r="H58" s="9" t="n"/>
      <c r="I58" s="10">
        <f>IF(OR($A58="",$D58="",$E58="",$G58="",$H58=""),"",MIN($C58,'القوائم'!$N$5)+IFERROR(VLOOKUP($D58,'القوائم'!$A$5:$B$8,2,FALSE),0)+IFERROR(VLOOKUP($E58,'القوائم'!$C$5:$D$7,2,FALSE),0)+IF($F58&gt;='القوائم'!$N$6,2,IF($F58&gt;0,1,0))+IFERROR(VLOOKUP($G58,'القوائم'!$E$5:$F$7,2,FALSE),0)+IFERROR(VLOOKUP($H58,'القوائم'!$G$5:$H$7,2,FALSE),0))</f>
        <v/>
      </c>
      <c r="J58" s="7" t="n"/>
      <c r="K58" s="5" t="n"/>
      <c r="L58" s="5" t="n"/>
      <c r="M58" s="5" t="n"/>
      <c r="N58" s="11">
        <f>IF($A58="","",IF(COUNTIFS('مقدّمو الطلبات'!$A$5:$A$204,$A58,'مقدّمو الطلبات'!$J$5:$J$204,"&lt;&gt;")=0,"",SUMPRODUCT(MAX(('مقدّمو الطلبات'!$A$5:$A$204=$A58)*'مقدّمو الطلبات'!$J$5:$J$204))))</f>
        <v/>
      </c>
      <c r="O58" s="6">
        <f>IF($A58="","",COUNTIFS('مقدّمو الطلبات'!$A$5:$A$204,$A58,'مقدّمو الطلبات'!$K$5:$K$204,"لا"))</f>
        <v/>
      </c>
      <c r="P58" s="12">
        <f>IF($A58="","",IF($C58=0,"بلا مقدّمي طلب",IF($J58="","بلا قرار",IF($O58&gt;0,"ردود مستحقة",IF(OR($J58="غير مخطط لها",$J58="أُطلقت"),"مغلق","مفتوح")))))</f>
        <v/>
      </c>
      <c r="Q58" s="5" t="n"/>
      <c r="R58">
        <f>IF(ISNUMBER($I58),$I58+(1000-ROW())/100000,"")</f>
        <v/>
      </c>
    </row>
    <row r="59">
      <c r="A59" s="4" t="n"/>
      <c r="B59" s="5" t="n"/>
      <c r="C59" s="6">
        <f>IF($A59="","",COUNTIF('مقدّمو الطلبات'!$A$5:$A$204,$A59))</f>
        <v/>
      </c>
      <c r="D59" s="7" t="n"/>
      <c r="E59" s="5" t="n"/>
      <c r="F59" s="8">
        <f>IF($A59="","",SUMIFS('مقدّمو الطلبات'!$F$5:$F$204,'مقدّمو الطلبات'!$A$5:$A$204,$A59,'مقدّمو الطلبات'!$G$5:$G$204,"نعم"))</f>
        <v/>
      </c>
      <c r="G59" s="9" t="n"/>
      <c r="H59" s="9" t="n"/>
      <c r="I59" s="10">
        <f>IF(OR($A59="",$D59="",$E59="",$G59="",$H59=""),"",MIN($C59,'القوائم'!$N$5)+IFERROR(VLOOKUP($D59,'القوائم'!$A$5:$B$8,2,FALSE),0)+IFERROR(VLOOKUP($E59,'القوائم'!$C$5:$D$7,2,FALSE),0)+IF($F59&gt;='القوائم'!$N$6,2,IF($F59&gt;0,1,0))+IFERROR(VLOOKUP($G59,'القوائم'!$E$5:$F$7,2,FALSE),0)+IFERROR(VLOOKUP($H59,'القوائم'!$G$5:$H$7,2,FALSE),0))</f>
        <v/>
      </c>
      <c r="J59" s="7" t="n"/>
      <c r="K59" s="5" t="n"/>
      <c r="L59" s="5" t="n"/>
      <c r="M59" s="5" t="n"/>
      <c r="N59" s="11">
        <f>IF($A59="","",IF(COUNTIFS('مقدّمو الطلبات'!$A$5:$A$204,$A59,'مقدّمو الطلبات'!$J$5:$J$204,"&lt;&gt;")=0,"",SUMPRODUCT(MAX(('مقدّمو الطلبات'!$A$5:$A$204=$A59)*'مقدّمو الطلبات'!$J$5:$J$204))))</f>
        <v/>
      </c>
      <c r="O59" s="6">
        <f>IF($A59="","",COUNTIFS('مقدّمو الطلبات'!$A$5:$A$204,$A59,'مقدّمو الطلبات'!$K$5:$K$204,"لا"))</f>
        <v/>
      </c>
      <c r="P59" s="12">
        <f>IF($A59="","",IF($C59=0,"بلا مقدّمي طلب",IF($J59="","بلا قرار",IF($O59&gt;0,"ردود مستحقة",IF(OR($J59="غير مخطط لها",$J59="أُطلقت"),"مغلق","مفتوح")))))</f>
        <v/>
      </c>
      <c r="Q59" s="5" t="n"/>
      <c r="R59">
        <f>IF(ISNUMBER($I59),$I59+(1000-ROW())/100000,"")</f>
        <v/>
      </c>
    </row>
    <row r="60">
      <c r="A60" s="4" t="n"/>
      <c r="B60" s="5" t="n"/>
      <c r="C60" s="6">
        <f>IF($A60="","",COUNTIF('مقدّمو الطلبات'!$A$5:$A$204,$A60))</f>
        <v/>
      </c>
      <c r="D60" s="7" t="n"/>
      <c r="E60" s="5" t="n"/>
      <c r="F60" s="8">
        <f>IF($A60="","",SUMIFS('مقدّمو الطلبات'!$F$5:$F$204,'مقدّمو الطلبات'!$A$5:$A$204,$A60,'مقدّمو الطلبات'!$G$5:$G$204,"نعم"))</f>
        <v/>
      </c>
      <c r="G60" s="9" t="n"/>
      <c r="H60" s="9" t="n"/>
      <c r="I60" s="10">
        <f>IF(OR($A60="",$D60="",$E60="",$G60="",$H60=""),"",MIN($C60,'القوائم'!$N$5)+IFERROR(VLOOKUP($D60,'القوائم'!$A$5:$B$8,2,FALSE),0)+IFERROR(VLOOKUP($E60,'القوائم'!$C$5:$D$7,2,FALSE),0)+IF($F60&gt;='القوائم'!$N$6,2,IF($F60&gt;0,1,0))+IFERROR(VLOOKUP($G60,'القوائم'!$E$5:$F$7,2,FALSE),0)+IFERROR(VLOOKUP($H60,'القوائم'!$G$5:$H$7,2,FALSE),0))</f>
        <v/>
      </c>
      <c r="J60" s="7" t="n"/>
      <c r="K60" s="5" t="n"/>
      <c r="L60" s="5" t="n"/>
      <c r="M60" s="5" t="n"/>
      <c r="N60" s="11">
        <f>IF($A60="","",IF(COUNTIFS('مقدّمو الطلبات'!$A$5:$A$204,$A60,'مقدّمو الطلبات'!$J$5:$J$204,"&lt;&gt;")=0,"",SUMPRODUCT(MAX(('مقدّمو الطلبات'!$A$5:$A$204=$A60)*'مقدّمو الطلبات'!$J$5:$J$204))))</f>
        <v/>
      </c>
      <c r="O60" s="6">
        <f>IF($A60="","",COUNTIFS('مقدّمو الطلبات'!$A$5:$A$204,$A60,'مقدّمو الطلبات'!$K$5:$K$204,"لا"))</f>
        <v/>
      </c>
      <c r="P60" s="12">
        <f>IF($A60="","",IF($C60=0,"بلا مقدّمي طلب",IF($J60="","بلا قرار",IF($O60&gt;0,"ردود مستحقة",IF(OR($J60="غير مخطط لها",$J60="أُطلقت"),"مغلق","مفتوح")))))</f>
        <v/>
      </c>
      <c r="Q60" s="5" t="n"/>
      <c r="R60">
        <f>IF(ISNUMBER($I60),$I60+(1000-ROW())/100000,"")</f>
        <v/>
      </c>
    </row>
    <row r="61">
      <c r="A61" s="4" t="n"/>
      <c r="B61" s="5" t="n"/>
      <c r="C61" s="6">
        <f>IF($A61="","",COUNTIF('مقدّمو الطلبات'!$A$5:$A$204,$A61))</f>
        <v/>
      </c>
      <c r="D61" s="7" t="n"/>
      <c r="E61" s="5" t="n"/>
      <c r="F61" s="8">
        <f>IF($A61="","",SUMIFS('مقدّمو الطلبات'!$F$5:$F$204,'مقدّمو الطلبات'!$A$5:$A$204,$A61,'مقدّمو الطلبات'!$G$5:$G$204,"نعم"))</f>
        <v/>
      </c>
      <c r="G61" s="9" t="n"/>
      <c r="H61" s="9" t="n"/>
      <c r="I61" s="10">
        <f>IF(OR($A61="",$D61="",$E61="",$G61="",$H61=""),"",MIN($C61,'القوائم'!$N$5)+IFERROR(VLOOKUP($D61,'القوائم'!$A$5:$B$8,2,FALSE),0)+IFERROR(VLOOKUP($E61,'القوائم'!$C$5:$D$7,2,FALSE),0)+IF($F61&gt;='القوائم'!$N$6,2,IF($F61&gt;0,1,0))+IFERROR(VLOOKUP($G61,'القوائم'!$E$5:$F$7,2,FALSE),0)+IFERROR(VLOOKUP($H61,'القوائم'!$G$5:$H$7,2,FALSE),0))</f>
        <v/>
      </c>
      <c r="J61" s="7" t="n"/>
      <c r="K61" s="5" t="n"/>
      <c r="L61" s="5" t="n"/>
      <c r="M61" s="5" t="n"/>
      <c r="N61" s="11">
        <f>IF($A61="","",IF(COUNTIFS('مقدّمو الطلبات'!$A$5:$A$204,$A61,'مقدّمو الطلبات'!$J$5:$J$204,"&lt;&gt;")=0,"",SUMPRODUCT(MAX(('مقدّمو الطلبات'!$A$5:$A$204=$A61)*'مقدّمو الطلبات'!$J$5:$J$204))))</f>
        <v/>
      </c>
      <c r="O61" s="6">
        <f>IF($A61="","",COUNTIFS('مقدّمو الطلبات'!$A$5:$A$204,$A61,'مقدّمو الطلبات'!$K$5:$K$204,"لا"))</f>
        <v/>
      </c>
      <c r="P61" s="12">
        <f>IF($A61="","",IF($C61=0,"بلا مقدّمي طلب",IF($J61="","بلا قرار",IF($O61&gt;0,"ردود مستحقة",IF(OR($J61="غير مخطط لها",$J61="أُطلقت"),"مغلق","مفتوح")))))</f>
        <v/>
      </c>
      <c r="Q61" s="5" t="n"/>
      <c r="R61">
        <f>IF(ISNUMBER($I61),$I61+(1000-ROW())/100000,"")</f>
        <v/>
      </c>
    </row>
    <row r="62">
      <c r="A62" s="4" t="n"/>
      <c r="B62" s="5" t="n"/>
      <c r="C62" s="6">
        <f>IF($A62="","",COUNTIF('مقدّمو الطلبات'!$A$5:$A$204,$A62))</f>
        <v/>
      </c>
      <c r="D62" s="7" t="n"/>
      <c r="E62" s="5" t="n"/>
      <c r="F62" s="8">
        <f>IF($A62="","",SUMIFS('مقدّمو الطلبات'!$F$5:$F$204,'مقدّمو الطلبات'!$A$5:$A$204,$A62,'مقدّمو الطلبات'!$G$5:$G$204,"نعم"))</f>
        <v/>
      </c>
      <c r="G62" s="9" t="n"/>
      <c r="H62" s="9" t="n"/>
      <c r="I62" s="10">
        <f>IF(OR($A62="",$D62="",$E62="",$G62="",$H62=""),"",MIN($C62,'القوائم'!$N$5)+IFERROR(VLOOKUP($D62,'القوائم'!$A$5:$B$8,2,FALSE),0)+IFERROR(VLOOKUP($E62,'القوائم'!$C$5:$D$7,2,FALSE),0)+IF($F62&gt;='القوائم'!$N$6,2,IF($F62&gt;0,1,0))+IFERROR(VLOOKUP($G62,'القوائم'!$E$5:$F$7,2,FALSE),0)+IFERROR(VLOOKUP($H62,'القوائم'!$G$5:$H$7,2,FALSE),0))</f>
        <v/>
      </c>
      <c r="J62" s="7" t="n"/>
      <c r="K62" s="5" t="n"/>
      <c r="L62" s="5" t="n"/>
      <c r="M62" s="5" t="n"/>
      <c r="N62" s="11">
        <f>IF($A62="","",IF(COUNTIFS('مقدّمو الطلبات'!$A$5:$A$204,$A62,'مقدّمو الطلبات'!$J$5:$J$204,"&lt;&gt;")=0,"",SUMPRODUCT(MAX(('مقدّمو الطلبات'!$A$5:$A$204=$A62)*'مقدّمو الطلبات'!$J$5:$J$204))))</f>
        <v/>
      </c>
      <c r="O62" s="6">
        <f>IF($A62="","",COUNTIFS('مقدّمو الطلبات'!$A$5:$A$204,$A62,'مقدّمو الطلبات'!$K$5:$K$204,"لا"))</f>
        <v/>
      </c>
      <c r="P62" s="12">
        <f>IF($A62="","",IF($C62=0,"بلا مقدّمي طلب",IF($J62="","بلا قرار",IF($O62&gt;0,"ردود مستحقة",IF(OR($J62="غير مخطط لها",$J62="أُطلقت"),"مغلق","مفتوح")))))</f>
        <v/>
      </c>
      <c r="Q62" s="5" t="n"/>
      <c r="R62">
        <f>IF(ISNUMBER($I62),$I62+(1000-ROW())/100000,"")</f>
        <v/>
      </c>
    </row>
    <row r="63">
      <c r="A63" s="4" t="n"/>
      <c r="B63" s="5" t="n"/>
      <c r="C63" s="6">
        <f>IF($A63="","",COUNTIF('مقدّمو الطلبات'!$A$5:$A$204,$A63))</f>
        <v/>
      </c>
      <c r="D63" s="7" t="n"/>
      <c r="E63" s="5" t="n"/>
      <c r="F63" s="8">
        <f>IF($A63="","",SUMIFS('مقدّمو الطلبات'!$F$5:$F$204,'مقدّمو الطلبات'!$A$5:$A$204,$A63,'مقدّمو الطلبات'!$G$5:$G$204,"نعم"))</f>
        <v/>
      </c>
      <c r="G63" s="9" t="n"/>
      <c r="H63" s="9" t="n"/>
      <c r="I63" s="10">
        <f>IF(OR($A63="",$D63="",$E63="",$G63="",$H63=""),"",MIN($C63,'القوائم'!$N$5)+IFERROR(VLOOKUP($D63,'القوائم'!$A$5:$B$8,2,FALSE),0)+IFERROR(VLOOKUP($E63,'القوائم'!$C$5:$D$7,2,FALSE),0)+IF($F63&gt;='القوائم'!$N$6,2,IF($F63&gt;0,1,0))+IFERROR(VLOOKUP($G63,'القوائم'!$E$5:$F$7,2,FALSE),0)+IFERROR(VLOOKUP($H63,'القوائم'!$G$5:$H$7,2,FALSE),0))</f>
        <v/>
      </c>
      <c r="J63" s="7" t="n"/>
      <c r="K63" s="5" t="n"/>
      <c r="L63" s="5" t="n"/>
      <c r="M63" s="5" t="n"/>
      <c r="N63" s="11">
        <f>IF($A63="","",IF(COUNTIFS('مقدّمو الطلبات'!$A$5:$A$204,$A63,'مقدّمو الطلبات'!$J$5:$J$204,"&lt;&gt;")=0,"",SUMPRODUCT(MAX(('مقدّمو الطلبات'!$A$5:$A$204=$A63)*'مقدّمو الطلبات'!$J$5:$J$204))))</f>
        <v/>
      </c>
      <c r="O63" s="6">
        <f>IF($A63="","",COUNTIFS('مقدّمو الطلبات'!$A$5:$A$204,$A63,'مقدّمو الطلبات'!$K$5:$K$204,"لا"))</f>
        <v/>
      </c>
      <c r="P63" s="12">
        <f>IF($A63="","",IF($C63=0,"بلا مقدّمي طلب",IF($J63="","بلا قرار",IF($O63&gt;0,"ردود مستحقة",IF(OR($J63="غير مخطط لها",$J63="أُطلقت"),"مغلق","مفتوح")))))</f>
        <v/>
      </c>
      <c r="Q63" s="5" t="n"/>
      <c r="R63">
        <f>IF(ISNUMBER($I63),$I63+(1000-ROW())/100000,"")</f>
        <v/>
      </c>
    </row>
    <row r="64">
      <c r="A64" s="4" t="n"/>
      <c r="B64" s="5" t="n"/>
      <c r="C64" s="6">
        <f>IF($A64="","",COUNTIF('مقدّمو الطلبات'!$A$5:$A$204,$A64))</f>
        <v/>
      </c>
      <c r="D64" s="7" t="n"/>
      <c r="E64" s="5" t="n"/>
      <c r="F64" s="8">
        <f>IF($A64="","",SUMIFS('مقدّمو الطلبات'!$F$5:$F$204,'مقدّمو الطلبات'!$A$5:$A$204,$A64,'مقدّمو الطلبات'!$G$5:$G$204,"نعم"))</f>
        <v/>
      </c>
      <c r="G64" s="9" t="n"/>
      <c r="H64" s="9" t="n"/>
      <c r="I64" s="10">
        <f>IF(OR($A64="",$D64="",$E64="",$G64="",$H64=""),"",MIN($C64,'القوائم'!$N$5)+IFERROR(VLOOKUP($D64,'القوائم'!$A$5:$B$8,2,FALSE),0)+IFERROR(VLOOKUP($E64,'القوائم'!$C$5:$D$7,2,FALSE),0)+IF($F64&gt;='القوائم'!$N$6,2,IF($F64&gt;0,1,0))+IFERROR(VLOOKUP($G64,'القوائم'!$E$5:$F$7,2,FALSE),0)+IFERROR(VLOOKUP($H64,'القوائم'!$G$5:$H$7,2,FALSE),0))</f>
        <v/>
      </c>
      <c r="J64" s="7" t="n"/>
      <c r="K64" s="5" t="n"/>
      <c r="L64" s="5" t="n"/>
      <c r="M64" s="5" t="n"/>
      <c r="N64" s="11">
        <f>IF($A64="","",IF(COUNTIFS('مقدّمو الطلبات'!$A$5:$A$204,$A64,'مقدّمو الطلبات'!$J$5:$J$204,"&lt;&gt;")=0,"",SUMPRODUCT(MAX(('مقدّمو الطلبات'!$A$5:$A$204=$A64)*'مقدّمو الطلبات'!$J$5:$J$204))))</f>
        <v/>
      </c>
      <c r="O64" s="6">
        <f>IF($A64="","",COUNTIFS('مقدّمو الطلبات'!$A$5:$A$204,$A64,'مقدّمو الطلبات'!$K$5:$K$204,"لا"))</f>
        <v/>
      </c>
      <c r="P64" s="12">
        <f>IF($A64="","",IF($C64=0,"بلا مقدّمي طلب",IF($J64="","بلا قرار",IF($O64&gt;0,"ردود مستحقة",IF(OR($J64="غير مخطط لها",$J64="أُطلقت"),"مغلق","مفتوح")))))</f>
        <v/>
      </c>
      <c r="Q64" s="5" t="n"/>
      <c r="R64">
        <f>IF(ISNUMBER($I64),$I64+(1000-ROW())/100000,"")</f>
        <v/>
      </c>
    </row>
    <row r="65">
      <c r="A65" s="4" t="n"/>
      <c r="B65" s="5" t="n"/>
      <c r="C65" s="6">
        <f>IF($A65="","",COUNTIF('مقدّمو الطلبات'!$A$5:$A$204,$A65))</f>
        <v/>
      </c>
      <c r="D65" s="7" t="n"/>
      <c r="E65" s="5" t="n"/>
      <c r="F65" s="8">
        <f>IF($A65="","",SUMIFS('مقدّمو الطلبات'!$F$5:$F$204,'مقدّمو الطلبات'!$A$5:$A$204,$A65,'مقدّمو الطلبات'!$G$5:$G$204,"نعم"))</f>
        <v/>
      </c>
      <c r="G65" s="9" t="n"/>
      <c r="H65" s="9" t="n"/>
      <c r="I65" s="10">
        <f>IF(OR($A65="",$D65="",$E65="",$G65="",$H65=""),"",MIN($C65,'القوائم'!$N$5)+IFERROR(VLOOKUP($D65,'القوائم'!$A$5:$B$8,2,FALSE),0)+IFERROR(VLOOKUP($E65,'القوائم'!$C$5:$D$7,2,FALSE),0)+IF($F65&gt;='القوائم'!$N$6,2,IF($F65&gt;0,1,0))+IFERROR(VLOOKUP($G65,'القوائم'!$E$5:$F$7,2,FALSE),0)+IFERROR(VLOOKUP($H65,'القوائم'!$G$5:$H$7,2,FALSE),0))</f>
        <v/>
      </c>
      <c r="J65" s="7" t="n"/>
      <c r="K65" s="5" t="n"/>
      <c r="L65" s="5" t="n"/>
      <c r="M65" s="5" t="n"/>
      <c r="N65" s="11">
        <f>IF($A65="","",IF(COUNTIFS('مقدّمو الطلبات'!$A$5:$A$204,$A65,'مقدّمو الطلبات'!$J$5:$J$204,"&lt;&gt;")=0,"",SUMPRODUCT(MAX(('مقدّمو الطلبات'!$A$5:$A$204=$A65)*'مقدّمو الطلبات'!$J$5:$J$204))))</f>
        <v/>
      </c>
      <c r="O65" s="6">
        <f>IF($A65="","",COUNTIFS('مقدّمو الطلبات'!$A$5:$A$204,$A65,'مقدّمو الطلبات'!$K$5:$K$204,"لا"))</f>
        <v/>
      </c>
      <c r="P65" s="12">
        <f>IF($A65="","",IF($C65=0,"بلا مقدّمي طلب",IF($J65="","بلا قرار",IF($O65&gt;0,"ردود مستحقة",IF(OR($J65="غير مخطط لها",$J65="أُطلقت"),"مغلق","مفتوح")))))</f>
        <v/>
      </c>
      <c r="Q65" s="5" t="n"/>
      <c r="R65">
        <f>IF(ISNUMBER($I65),$I65+(1000-ROW())/100000,"")</f>
        <v/>
      </c>
    </row>
    <row r="66">
      <c r="A66" s="4" t="n"/>
      <c r="B66" s="5" t="n"/>
      <c r="C66" s="6">
        <f>IF($A66="","",COUNTIF('مقدّمو الطلبات'!$A$5:$A$204,$A66))</f>
        <v/>
      </c>
      <c r="D66" s="7" t="n"/>
      <c r="E66" s="5" t="n"/>
      <c r="F66" s="8">
        <f>IF($A66="","",SUMIFS('مقدّمو الطلبات'!$F$5:$F$204,'مقدّمو الطلبات'!$A$5:$A$204,$A66,'مقدّمو الطلبات'!$G$5:$G$204,"نعم"))</f>
        <v/>
      </c>
      <c r="G66" s="9" t="n"/>
      <c r="H66" s="9" t="n"/>
      <c r="I66" s="10">
        <f>IF(OR($A66="",$D66="",$E66="",$G66="",$H66=""),"",MIN($C66,'القوائم'!$N$5)+IFERROR(VLOOKUP($D66,'القوائم'!$A$5:$B$8,2,FALSE),0)+IFERROR(VLOOKUP($E66,'القوائم'!$C$5:$D$7,2,FALSE),0)+IF($F66&gt;='القوائم'!$N$6,2,IF($F66&gt;0,1,0))+IFERROR(VLOOKUP($G66,'القوائم'!$E$5:$F$7,2,FALSE),0)+IFERROR(VLOOKUP($H66,'القوائم'!$G$5:$H$7,2,FALSE),0))</f>
        <v/>
      </c>
      <c r="J66" s="7" t="n"/>
      <c r="K66" s="5" t="n"/>
      <c r="L66" s="5" t="n"/>
      <c r="M66" s="5" t="n"/>
      <c r="N66" s="11">
        <f>IF($A66="","",IF(COUNTIFS('مقدّمو الطلبات'!$A$5:$A$204,$A66,'مقدّمو الطلبات'!$J$5:$J$204,"&lt;&gt;")=0,"",SUMPRODUCT(MAX(('مقدّمو الطلبات'!$A$5:$A$204=$A66)*'مقدّمو الطلبات'!$J$5:$J$204))))</f>
        <v/>
      </c>
      <c r="O66" s="6">
        <f>IF($A66="","",COUNTIFS('مقدّمو الطلبات'!$A$5:$A$204,$A66,'مقدّمو الطلبات'!$K$5:$K$204,"لا"))</f>
        <v/>
      </c>
      <c r="P66" s="12">
        <f>IF($A66="","",IF($C66=0,"بلا مقدّمي طلب",IF($J66="","بلا قرار",IF($O66&gt;0,"ردود مستحقة",IF(OR($J66="غير مخطط لها",$J66="أُطلقت"),"مغلق","مفتوح")))))</f>
        <v/>
      </c>
      <c r="Q66" s="5" t="n"/>
      <c r="R66">
        <f>IF(ISNUMBER($I66),$I66+(1000-ROW())/100000,"")</f>
        <v/>
      </c>
    </row>
    <row r="67">
      <c r="A67" s="4" t="n"/>
      <c r="B67" s="5" t="n"/>
      <c r="C67" s="6">
        <f>IF($A67="","",COUNTIF('مقدّمو الطلبات'!$A$5:$A$204,$A67))</f>
        <v/>
      </c>
      <c r="D67" s="7" t="n"/>
      <c r="E67" s="5" t="n"/>
      <c r="F67" s="8">
        <f>IF($A67="","",SUMIFS('مقدّمو الطلبات'!$F$5:$F$204,'مقدّمو الطلبات'!$A$5:$A$204,$A67,'مقدّمو الطلبات'!$G$5:$G$204,"نعم"))</f>
        <v/>
      </c>
      <c r="G67" s="9" t="n"/>
      <c r="H67" s="9" t="n"/>
      <c r="I67" s="10">
        <f>IF(OR($A67="",$D67="",$E67="",$G67="",$H67=""),"",MIN($C67,'القوائم'!$N$5)+IFERROR(VLOOKUP($D67,'القوائم'!$A$5:$B$8,2,FALSE),0)+IFERROR(VLOOKUP($E67,'القوائم'!$C$5:$D$7,2,FALSE),0)+IF($F67&gt;='القوائم'!$N$6,2,IF($F67&gt;0,1,0))+IFERROR(VLOOKUP($G67,'القوائم'!$E$5:$F$7,2,FALSE),0)+IFERROR(VLOOKUP($H67,'القوائم'!$G$5:$H$7,2,FALSE),0))</f>
        <v/>
      </c>
      <c r="J67" s="7" t="n"/>
      <c r="K67" s="5" t="n"/>
      <c r="L67" s="5" t="n"/>
      <c r="M67" s="5" t="n"/>
      <c r="N67" s="11">
        <f>IF($A67="","",IF(COUNTIFS('مقدّمو الطلبات'!$A$5:$A$204,$A67,'مقدّمو الطلبات'!$J$5:$J$204,"&lt;&gt;")=0,"",SUMPRODUCT(MAX(('مقدّمو الطلبات'!$A$5:$A$204=$A67)*'مقدّمو الطلبات'!$J$5:$J$204))))</f>
        <v/>
      </c>
      <c r="O67" s="6">
        <f>IF($A67="","",COUNTIFS('مقدّمو الطلبات'!$A$5:$A$204,$A67,'مقدّمو الطلبات'!$K$5:$K$204,"لا"))</f>
        <v/>
      </c>
      <c r="P67" s="12">
        <f>IF($A67="","",IF($C67=0,"بلا مقدّمي طلب",IF($J67="","بلا قرار",IF($O67&gt;0,"ردود مستحقة",IF(OR($J67="غير مخطط لها",$J67="أُطلقت"),"مغلق","مفتوح")))))</f>
        <v/>
      </c>
      <c r="Q67" s="5" t="n"/>
      <c r="R67">
        <f>IF(ISNUMBER($I67),$I67+(1000-ROW())/100000,"")</f>
        <v/>
      </c>
    </row>
    <row r="68">
      <c r="A68" s="4" t="n"/>
      <c r="B68" s="5" t="n"/>
      <c r="C68" s="6">
        <f>IF($A68="","",COUNTIF('مقدّمو الطلبات'!$A$5:$A$204,$A68))</f>
        <v/>
      </c>
      <c r="D68" s="7" t="n"/>
      <c r="E68" s="5" t="n"/>
      <c r="F68" s="8">
        <f>IF($A68="","",SUMIFS('مقدّمو الطلبات'!$F$5:$F$204,'مقدّمو الطلبات'!$A$5:$A$204,$A68,'مقدّمو الطلبات'!$G$5:$G$204,"نعم"))</f>
        <v/>
      </c>
      <c r="G68" s="9" t="n"/>
      <c r="H68" s="9" t="n"/>
      <c r="I68" s="10">
        <f>IF(OR($A68="",$D68="",$E68="",$G68="",$H68=""),"",MIN($C68,'القوائم'!$N$5)+IFERROR(VLOOKUP($D68,'القوائم'!$A$5:$B$8,2,FALSE),0)+IFERROR(VLOOKUP($E68,'القوائم'!$C$5:$D$7,2,FALSE),0)+IF($F68&gt;='القوائم'!$N$6,2,IF($F68&gt;0,1,0))+IFERROR(VLOOKUP($G68,'القوائم'!$E$5:$F$7,2,FALSE),0)+IFERROR(VLOOKUP($H68,'القوائم'!$G$5:$H$7,2,FALSE),0))</f>
        <v/>
      </c>
      <c r="J68" s="7" t="n"/>
      <c r="K68" s="5" t="n"/>
      <c r="L68" s="5" t="n"/>
      <c r="M68" s="5" t="n"/>
      <c r="N68" s="11">
        <f>IF($A68="","",IF(COUNTIFS('مقدّمو الطلبات'!$A$5:$A$204,$A68,'مقدّمو الطلبات'!$J$5:$J$204,"&lt;&gt;")=0,"",SUMPRODUCT(MAX(('مقدّمو الطلبات'!$A$5:$A$204=$A68)*'مقدّمو الطلبات'!$J$5:$J$204))))</f>
        <v/>
      </c>
      <c r="O68" s="6">
        <f>IF($A68="","",COUNTIFS('مقدّمو الطلبات'!$A$5:$A$204,$A68,'مقدّمو الطلبات'!$K$5:$K$204,"لا"))</f>
        <v/>
      </c>
      <c r="P68" s="12">
        <f>IF($A68="","",IF($C68=0,"بلا مقدّمي طلب",IF($J68="","بلا قرار",IF($O68&gt;0,"ردود مستحقة",IF(OR($J68="غير مخطط لها",$J68="أُطلقت"),"مغلق","مفتوح")))))</f>
        <v/>
      </c>
      <c r="Q68" s="5" t="n"/>
      <c r="R68">
        <f>IF(ISNUMBER($I68),$I68+(1000-ROW())/100000,"")</f>
        <v/>
      </c>
    </row>
    <row r="69">
      <c r="A69" s="4" t="n"/>
      <c r="B69" s="5" t="n"/>
      <c r="C69" s="6">
        <f>IF($A69="","",COUNTIF('مقدّمو الطلبات'!$A$5:$A$204,$A69))</f>
        <v/>
      </c>
      <c r="D69" s="7" t="n"/>
      <c r="E69" s="5" t="n"/>
      <c r="F69" s="8">
        <f>IF($A69="","",SUMIFS('مقدّمو الطلبات'!$F$5:$F$204,'مقدّمو الطلبات'!$A$5:$A$204,$A69,'مقدّمو الطلبات'!$G$5:$G$204,"نعم"))</f>
        <v/>
      </c>
      <c r="G69" s="9" t="n"/>
      <c r="H69" s="9" t="n"/>
      <c r="I69" s="10">
        <f>IF(OR($A69="",$D69="",$E69="",$G69="",$H69=""),"",MIN($C69,'القوائم'!$N$5)+IFERROR(VLOOKUP($D69,'القوائم'!$A$5:$B$8,2,FALSE),0)+IFERROR(VLOOKUP($E69,'القوائم'!$C$5:$D$7,2,FALSE),0)+IF($F69&gt;='القوائم'!$N$6,2,IF($F69&gt;0,1,0))+IFERROR(VLOOKUP($G69,'القوائم'!$E$5:$F$7,2,FALSE),0)+IFERROR(VLOOKUP($H69,'القوائم'!$G$5:$H$7,2,FALSE),0))</f>
        <v/>
      </c>
      <c r="J69" s="7" t="n"/>
      <c r="K69" s="5" t="n"/>
      <c r="L69" s="5" t="n"/>
      <c r="M69" s="5" t="n"/>
      <c r="N69" s="11">
        <f>IF($A69="","",IF(COUNTIFS('مقدّمو الطلبات'!$A$5:$A$204,$A69,'مقدّمو الطلبات'!$J$5:$J$204,"&lt;&gt;")=0,"",SUMPRODUCT(MAX(('مقدّمو الطلبات'!$A$5:$A$204=$A69)*'مقدّمو الطلبات'!$J$5:$J$204))))</f>
        <v/>
      </c>
      <c r="O69" s="6">
        <f>IF($A69="","",COUNTIFS('مقدّمو الطلبات'!$A$5:$A$204,$A69,'مقدّمو الطلبات'!$K$5:$K$204,"لا"))</f>
        <v/>
      </c>
      <c r="P69" s="12">
        <f>IF($A69="","",IF($C69=0,"بلا مقدّمي طلب",IF($J69="","بلا قرار",IF($O69&gt;0,"ردود مستحقة",IF(OR($J69="غير مخطط لها",$J69="أُطلقت"),"مغلق","مفتوح")))))</f>
        <v/>
      </c>
      <c r="Q69" s="5" t="n"/>
      <c r="R69">
        <f>IF(ISNUMBER($I69),$I69+(1000-ROW())/100000,"")</f>
        <v/>
      </c>
    </row>
    <row r="70">
      <c r="A70" s="4" t="n"/>
      <c r="B70" s="5" t="n"/>
      <c r="C70" s="6">
        <f>IF($A70="","",COUNTIF('مقدّمو الطلبات'!$A$5:$A$204,$A70))</f>
        <v/>
      </c>
      <c r="D70" s="7" t="n"/>
      <c r="E70" s="5" t="n"/>
      <c r="F70" s="8">
        <f>IF($A70="","",SUMIFS('مقدّمو الطلبات'!$F$5:$F$204,'مقدّمو الطلبات'!$A$5:$A$204,$A70,'مقدّمو الطلبات'!$G$5:$G$204,"نعم"))</f>
        <v/>
      </c>
      <c r="G70" s="9" t="n"/>
      <c r="H70" s="9" t="n"/>
      <c r="I70" s="10">
        <f>IF(OR($A70="",$D70="",$E70="",$G70="",$H70=""),"",MIN($C70,'القوائم'!$N$5)+IFERROR(VLOOKUP($D70,'القوائم'!$A$5:$B$8,2,FALSE),0)+IFERROR(VLOOKUP($E70,'القوائم'!$C$5:$D$7,2,FALSE),0)+IF($F70&gt;='القوائم'!$N$6,2,IF($F70&gt;0,1,0))+IFERROR(VLOOKUP($G70,'القوائم'!$E$5:$F$7,2,FALSE),0)+IFERROR(VLOOKUP($H70,'القوائم'!$G$5:$H$7,2,FALSE),0))</f>
        <v/>
      </c>
      <c r="J70" s="7" t="n"/>
      <c r="K70" s="5" t="n"/>
      <c r="L70" s="5" t="n"/>
      <c r="M70" s="5" t="n"/>
      <c r="N70" s="11">
        <f>IF($A70="","",IF(COUNTIFS('مقدّمو الطلبات'!$A$5:$A$204,$A70,'مقدّمو الطلبات'!$J$5:$J$204,"&lt;&gt;")=0,"",SUMPRODUCT(MAX(('مقدّمو الطلبات'!$A$5:$A$204=$A70)*'مقدّمو الطلبات'!$J$5:$J$204))))</f>
        <v/>
      </c>
      <c r="O70" s="6">
        <f>IF($A70="","",COUNTIFS('مقدّمو الطلبات'!$A$5:$A$204,$A70,'مقدّمو الطلبات'!$K$5:$K$204,"لا"))</f>
        <v/>
      </c>
      <c r="P70" s="12">
        <f>IF($A70="","",IF($C70=0,"بلا مقدّمي طلب",IF($J70="","بلا قرار",IF($O70&gt;0,"ردود مستحقة",IF(OR($J70="غير مخطط لها",$J70="أُطلقت"),"مغلق","مفتوح")))))</f>
        <v/>
      </c>
      <c r="Q70" s="5" t="n"/>
      <c r="R70">
        <f>IF(ISNUMBER($I70),$I70+(1000-ROW())/100000,"")</f>
        <v/>
      </c>
    </row>
    <row r="71">
      <c r="A71" s="4" t="n"/>
      <c r="B71" s="5" t="n"/>
      <c r="C71" s="6">
        <f>IF($A71="","",COUNTIF('مقدّمو الطلبات'!$A$5:$A$204,$A71))</f>
        <v/>
      </c>
      <c r="D71" s="7" t="n"/>
      <c r="E71" s="5" t="n"/>
      <c r="F71" s="8">
        <f>IF($A71="","",SUMIFS('مقدّمو الطلبات'!$F$5:$F$204,'مقدّمو الطلبات'!$A$5:$A$204,$A71,'مقدّمو الطلبات'!$G$5:$G$204,"نعم"))</f>
        <v/>
      </c>
      <c r="G71" s="9" t="n"/>
      <c r="H71" s="9" t="n"/>
      <c r="I71" s="10">
        <f>IF(OR($A71="",$D71="",$E71="",$G71="",$H71=""),"",MIN($C71,'القوائم'!$N$5)+IFERROR(VLOOKUP($D71,'القوائم'!$A$5:$B$8,2,FALSE),0)+IFERROR(VLOOKUP($E71,'القوائم'!$C$5:$D$7,2,FALSE),0)+IF($F71&gt;='القوائم'!$N$6,2,IF($F71&gt;0,1,0))+IFERROR(VLOOKUP($G71,'القوائم'!$E$5:$F$7,2,FALSE),0)+IFERROR(VLOOKUP($H71,'القوائم'!$G$5:$H$7,2,FALSE),0))</f>
        <v/>
      </c>
      <c r="J71" s="7" t="n"/>
      <c r="K71" s="5" t="n"/>
      <c r="L71" s="5" t="n"/>
      <c r="M71" s="5" t="n"/>
      <c r="N71" s="11">
        <f>IF($A71="","",IF(COUNTIFS('مقدّمو الطلبات'!$A$5:$A$204,$A71,'مقدّمو الطلبات'!$J$5:$J$204,"&lt;&gt;")=0,"",SUMPRODUCT(MAX(('مقدّمو الطلبات'!$A$5:$A$204=$A71)*'مقدّمو الطلبات'!$J$5:$J$204))))</f>
        <v/>
      </c>
      <c r="O71" s="6">
        <f>IF($A71="","",COUNTIFS('مقدّمو الطلبات'!$A$5:$A$204,$A71,'مقدّمو الطلبات'!$K$5:$K$204,"لا"))</f>
        <v/>
      </c>
      <c r="P71" s="12">
        <f>IF($A71="","",IF($C71=0,"بلا مقدّمي طلب",IF($J71="","بلا قرار",IF($O71&gt;0,"ردود مستحقة",IF(OR($J71="غير مخطط لها",$J71="أُطلقت"),"مغلق","مفتوح")))))</f>
        <v/>
      </c>
      <c r="Q71" s="5" t="n"/>
      <c r="R71">
        <f>IF(ISNUMBER($I71),$I71+(1000-ROW())/100000,"")</f>
        <v/>
      </c>
    </row>
    <row r="72">
      <c r="A72" s="4" t="n"/>
      <c r="B72" s="5" t="n"/>
      <c r="C72" s="6">
        <f>IF($A72="","",COUNTIF('مقدّمو الطلبات'!$A$5:$A$204,$A72))</f>
        <v/>
      </c>
      <c r="D72" s="7" t="n"/>
      <c r="E72" s="5" t="n"/>
      <c r="F72" s="8">
        <f>IF($A72="","",SUMIFS('مقدّمو الطلبات'!$F$5:$F$204,'مقدّمو الطلبات'!$A$5:$A$204,$A72,'مقدّمو الطلبات'!$G$5:$G$204,"نعم"))</f>
        <v/>
      </c>
      <c r="G72" s="9" t="n"/>
      <c r="H72" s="9" t="n"/>
      <c r="I72" s="10">
        <f>IF(OR($A72="",$D72="",$E72="",$G72="",$H72=""),"",MIN($C72,'القوائم'!$N$5)+IFERROR(VLOOKUP($D72,'القوائم'!$A$5:$B$8,2,FALSE),0)+IFERROR(VLOOKUP($E72,'القوائم'!$C$5:$D$7,2,FALSE),0)+IF($F72&gt;='القوائم'!$N$6,2,IF($F72&gt;0,1,0))+IFERROR(VLOOKUP($G72,'القوائم'!$E$5:$F$7,2,FALSE),0)+IFERROR(VLOOKUP($H72,'القوائم'!$G$5:$H$7,2,FALSE),0))</f>
        <v/>
      </c>
      <c r="J72" s="7" t="n"/>
      <c r="K72" s="5" t="n"/>
      <c r="L72" s="5" t="n"/>
      <c r="M72" s="5" t="n"/>
      <c r="N72" s="11">
        <f>IF($A72="","",IF(COUNTIFS('مقدّمو الطلبات'!$A$5:$A$204,$A72,'مقدّمو الطلبات'!$J$5:$J$204,"&lt;&gt;")=0,"",SUMPRODUCT(MAX(('مقدّمو الطلبات'!$A$5:$A$204=$A72)*'مقدّمو الطلبات'!$J$5:$J$204))))</f>
        <v/>
      </c>
      <c r="O72" s="6">
        <f>IF($A72="","",COUNTIFS('مقدّمو الطلبات'!$A$5:$A$204,$A72,'مقدّمو الطلبات'!$K$5:$K$204,"لا"))</f>
        <v/>
      </c>
      <c r="P72" s="12">
        <f>IF($A72="","",IF($C72=0,"بلا مقدّمي طلب",IF($J72="","بلا قرار",IF($O72&gt;0,"ردود مستحقة",IF(OR($J72="غير مخطط لها",$J72="أُطلقت"),"مغلق","مفتوح")))))</f>
        <v/>
      </c>
      <c r="Q72" s="5" t="n"/>
      <c r="R72">
        <f>IF(ISNUMBER($I72),$I72+(1000-ROW())/100000,"")</f>
        <v/>
      </c>
    </row>
    <row r="73">
      <c r="A73" s="4" t="n"/>
      <c r="B73" s="5" t="n"/>
      <c r="C73" s="6">
        <f>IF($A73="","",COUNTIF('مقدّمو الطلبات'!$A$5:$A$204,$A73))</f>
        <v/>
      </c>
      <c r="D73" s="7" t="n"/>
      <c r="E73" s="5" t="n"/>
      <c r="F73" s="8">
        <f>IF($A73="","",SUMIFS('مقدّمو الطلبات'!$F$5:$F$204,'مقدّمو الطلبات'!$A$5:$A$204,$A73,'مقدّمو الطلبات'!$G$5:$G$204,"نعم"))</f>
        <v/>
      </c>
      <c r="G73" s="9" t="n"/>
      <c r="H73" s="9" t="n"/>
      <c r="I73" s="10">
        <f>IF(OR($A73="",$D73="",$E73="",$G73="",$H73=""),"",MIN($C73,'القوائم'!$N$5)+IFERROR(VLOOKUP($D73,'القوائم'!$A$5:$B$8,2,FALSE),0)+IFERROR(VLOOKUP($E73,'القوائم'!$C$5:$D$7,2,FALSE),0)+IF($F73&gt;='القوائم'!$N$6,2,IF($F73&gt;0,1,0))+IFERROR(VLOOKUP($G73,'القوائم'!$E$5:$F$7,2,FALSE),0)+IFERROR(VLOOKUP($H73,'القوائم'!$G$5:$H$7,2,FALSE),0))</f>
        <v/>
      </c>
      <c r="J73" s="7" t="n"/>
      <c r="K73" s="5" t="n"/>
      <c r="L73" s="5" t="n"/>
      <c r="M73" s="5" t="n"/>
      <c r="N73" s="11">
        <f>IF($A73="","",IF(COUNTIFS('مقدّمو الطلبات'!$A$5:$A$204,$A73,'مقدّمو الطلبات'!$J$5:$J$204,"&lt;&gt;")=0,"",SUMPRODUCT(MAX(('مقدّمو الطلبات'!$A$5:$A$204=$A73)*'مقدّمو الطلبات'!$J$5:$J$204))))</f>
        <v/>
      </c>
      <c r="O73" s="6">
        <f>IF($A73="","",COUNTIFS('مقدّمو الطلبات'!$A$5:$A$204,$A73,'مقدّمو الطلبات'!$K$5:$K$204,"لا"))</f>
        <v/>
      </c>
      <c r="P73" s="12">
        <f>IF($A73="","",IF($C73=0,"بلا مقدّمي طلب",IF($J73="","بلا قرار",IF($O73&gt;0,"ردود مستحقة",IF(OR($J73="غير مخطط لها",$J73="أُطلقت"),"مغلق","مفتوح")))))</f>
        <v/>
      </c>
      <c r="Q73" s="5" t="n"/>
      <c r="R73">
        <f>IF(ISNUMBER($I73),$I73+(1000-ROW())/100000,"")</f>
        <v/>
      </c>
    </row>
    <row r="74">
      <c r="A74" s="4" t="n"/>
      <c r="B74" s="5" t="n"/>
      <c r="C74" s="6">
        <f>IF($A74="","",COUNTIF('مقدّمو الطلبات'!$A$5:$A$204,$A74))</f>
        <v/>
      </c>
      <c r="D74" s="7" t="n"/>
      <c r="E74" s="5" t="n"/>
      <c r="F74" s="8">
        <f>IF($A74="","",SUMIFS('مقدّمو الطلبات'!$F$5:$F$204,'مقدّمو الطلبات'!$A$5:$A$204,$A74,'مقدّمو الطلبات'!$G$5:$G$204,"نعم"))</f>
        <v/>
      </c>
      <c r="G74" s="9" t="n"/>
      <c r="H74" s="9" t="n"/>
      <c r="I74" s="10">
        <f>IF(OR($A74="",$D74="",$E74="",$G74="",$H74=""),"",MIN($C74,'القوائم'!$N$5)+IFERROR(VLOOKUP($D74,'القوائم'!$A$5:$B$8,2,FALSE),0)+IFERROR(VLOOKUP($E74,'القوائم'!$C$5:$D$7,2,FALSE),0)+IF($F74&gt;='القوائم'!$N$6,2,IF($F74&gt;0,1,0))+IFERROR(VLOOKUP($G74,'القوائم'!$E$5:$F$7,2,FALSE),0)+IFERROR(VLOOKUP($H74,'القوائم'!$G$5:$H$7,2,FALSE),0))</f>
        <v/>
      </c>
      <c r="J74" s="7" t="n"/>
      <c r="K74" s="5" t="n"/>
      <c r="L74" s="5" t="n"/>
      <c r="M74" s="5" t="n"/>
      <c r="N74" s="11">
        <f>IF($A74="","",IF(COUNTIFS('مقدّمو الطلبات'!$A$5:$A$204,$A74,'مقدّمو الطلبات'!$J$5:$J$204,"&lt;&gt;")=0,"",SUMPRODUCT(MAX(('مقدّمو الطلبات'!$A$5:$A$204=$A74)*'مقدّمو الطلبات'!$J$5:$J$204))))</f>
        <v/>
      </c>
      <c r="O74" s="6">
        <f>IF($A74="","",COUNTIFS('مقدّمو الطلبات'!$A$5:$A$204,$A74,'مقدّمو الطلبات'!$K$5:$K$204,"لا"))</f>
        <v/>
      </c>
      <c r="P74" s="12">
        <f>IF($A74="","",IF($C74=0,"بلا مقدّمي طلب",IF($J74="","بلا قرار",IF($O74&gt;0,"ردود مستحقة",IF(OR($J74="غير مخطط لها",$J74="أُطلقت"),"مغلق","مفتوح")))))</f>
        <v/>
      </c>
      <c r="Q74" s="5" t="n"/>
      <c r="R74">
        <f>IF(ISNUMBER($I74),$I74+(1000-ROW())/100000,"")</f>
        <v/>
      </c>
    </row>
    <row r="75">
      <c r="A75" s="4" t="n"/>
      <c r="B75" s="5" t="n"/>
      <c r="C75" s="6">
        <f>IF($A75="","",COUNTIF('مقدّمو الطلبات'!$A$5:$A$204,$A75))</f>
        <v/>
      </c>
      <c r="D75" s="7" t="n"/>
      <c r="E75" s="5" t="n"/>
      <c r="F75" s="8">
        <f>IF($A75="","",SUMIFS('مقدّمو الطلبات'!$F$5:$F$204,'مقدّمو الطلبات'!$A$5:$A$204,$A75,'مقدّمو الطلبات'!$G$5:$G$204,"نعم"))</f>
        <v/>
      </c>
      <c r="G75" s="9" t="n"/>
      <c r="H75" s="9" t="n"/>
      <c r="I75" s="10">
        <f>IF(OR($A75="",$D75="",$E75="",$G75="",$H75=""),"",MIN($C75,'القوائم'!$N$5)+IFERROR(VLOOKUP($D75,'القوائم'!$A$5:$B$8,2,FALSE),0)+IFERROR(VLOOKUP($E75,'القوائم'!$C$5:$D$7,2,FALSE),0)+IF($F75&gt;='القوائم'!$N$6,2,IF($F75&gt;0,1,0))+IFERROR(VLOOKUP($G75,'القوائم'!$E$5:$F$7,2,FALSE),0)+IFERROR(VLOOKUP($H75,'القوائم'!$G$5:$H$7,2,FALSE),0))</f>
        <v/>
      </c>
      <c r="J75" s="7" t="n"/>
      <c r="K75" s="5" t="n"/>
      <c r="L75" s="5" t="n"/>
      <c r="M75" s="5" t="n"/>
      <c r="N75" s="11">
        <f>IF($A75="","",IF(COUNTIFS('مقدّمو الطلبات'!$A$5:$A$204,$A75,'مقدّمو الطلبات'!$J$5:$J$204,"&lt;&gt;")=0,"",SUMPRODUCT(MAX(('مقدّمو الطلبات'!$A$5:$A$204=$A75)*'مقدّمو الطلبات'!$J$5:$J$204))))</f>
        <v/>
      </c>
      <c r="O75" s="6">
        <f>IF($A75="","",COUNTIFS('مقدّمو الطلبات'!$A$5:$A$204,$A75,'مقدّمو الطلبات'!$K$5:$K$204,"لا"))</f>
        <v/>
      </c>
      <c r="P75" s="12">
        <f>IF($A75="","",IF($C75=0,"بلا مقدّمي طلب",IF($J75="","بلا قرار",IF($O75&gt;0,"ردود مستحقة",IF(OR($J75="غير مخطط لها",$J75="أُطلقت"),"مغلق","مفتوح")))))</f>
        <v/>
      </c>
      <c r="Q75" s="5" t="n"/>
      <c r="R75">
        <f>IF(ISNUMBER($I75),$I75+(1000-ROW())/100000,"")</f>
        <v/>
      </c>
    </row>
    <row r="76">
      <c r="A76" s="4" t="n"/>
      <c r="B76" s="5" t="n"/>
      <c r="C76" s="6">
        <f>IF($A76="","",COUNTIF('مقدّمو الطلبات'!$A$5:$A$204,$A76))</f>
        <v/>
      </c>
      <c r="D76" s="7" t="n"/>
      <c r="E76" s="5" t="n"/>
      <c r="F76" s="8">
        <f>IF($A76="","",SUMIFS('مقدّمو الطلبات'!$F$5:$F$204,'مقدّمو الطلبات'!$A$5:$A$204,$A76,'مقدّمو الطلبات'!$G$5:$G$204,"نعم"))</f>
        <v/>
      </c>
      <c r="G76" s="9" t="n"/>
      <c r="H76" s="9" t="n"/>
      <c r="I76" s="10">
        <f>IF(OR($A76="",$D76="",$E76="",$G76="",$H76=""),"",MIN($C76,'القوائم'!$N$5)+IFERROR(VLOOKUP($D76,'القوائم'!$A$5:$B$8,2,FALSE),0)+IFERROR(VLOOKUP($E76,'القوائم'!$C$5:$D$7,2,FALSE),0)+IF($F76&gt;='القوائم'!$N$6,2,IF($F76&gt;0,1,0))+IFERROR(VLOOKUP($G76,'القوائم'!$E$5:$F$7,2,FALSE),0)+IFERROR(VLOOKUP($H76,'القوائم'!$G$5:$H$7,2,FALSE),0))</f>
        <v/>
      </c>
      <c r="J76" s="7" t="n"/>
      <c r="K76" s="5" t="n"/>
      <c r="L76" s="5" t="n"/>
      <c r="M76" s="5" t="n"/>
      <c r="N76" s="11">
        <f>IF($A76="","",IF(COUNTIFS('مقدّمو الطلبات'!$A$5:$A$204,$A76,'مقدّمو الطلبات'!$J$5:$J$204,"&lt;&gt;")=0,"",SUMPRODUCT(MAX(('مقدّمو الطلبات'!$A$5:$A$204=$A76)*'مقدّمو الطلبات'!$J$5:$J$204))))</f>
        <v/>
      </c>
      <c r="O76" s="6">
        <f>IF($A76="","",COUNTIFS('مقدّمو الطلبات'!$A$5:$A$204,$A76,'مقدّمو الطلبات'!$K$5:$K$204,"لا"))</f>
        <v/>
      </c>
      <c r="P76" s="12">
        <f>IF($A76="","",IF($C76=0,"بلا مقدّمي طلب",IF($J76="","بلا قرار",IF($O76&gt;0,"ردود مستحقة",IF(OR($J76="غير مخطط لها",$J76="أُطلقت"),"مغلق","مفتوح")))))</f>
        <v/>
      </c>
      <c r="Q76" s="5" t="n"/>
      <c r="R76">
        <f>IF(ISNUMBER($I76),$I76+(1000-ROW())/100000,"")</f>
        <v/>
      </c>
    </row>
    <row r="77">
      <c r="A77" s="4" t="n"/>
      <c r="B77" s="5" t="n"/>
      <c r="C77" s="6">
        <f>IF($A77="","",COUNTIF('مقدّمو الطلبات'!$A$5:$A$204,$A77))</f>
        <v/>
      </c>
      <c r="D77" s="7" t="n"/>
      <c r="E77" s="5" t="n"/>
      <c r="F77" s="8">
        <f>IF($A77="","",SUMIFS('مقدّمو الطلبات'!$F$5:$F$204,'مقدّمو الطلبات'!$A$5:$A$204,$A77,'مقدّمو الطلبات'!$G$5:$G$204,"نعم"))</f>
        <v/>
      </c>
      <c r="G77" s="9" t="n"/>
      <c r="H77" s="9" t="n"/>
      <c r="I77" s="10">
        <f>IF(OR($A77="",$D77="",$E77="",$G77="",$H77=""),"",MIN($C77,'القوائم'!$N$5)+IFERROR(VLOOKUP($D77,'القوائم'!$A$5:$B$8,2,FALSE),0)+IFERROR(VLOOKUP($E77,'القوائم'!$C$5:$D$7,2,FALSE),0)+IF($F77&gt;='القوائم'!$N$6,2,IF($F77&gt;0,1,0))+IFERROR(VLOOKUP($G77,'القوائم'!$E$5:$F$7,2,FALSE),0)+IFERROR(VLOOKUP($H77,'القوائم'!$G$5:$H$7,2,FALSE),0))</f>
        <v/>
      </c>
      <c r="J77" s="7" t="n"/>
      <c r="K77" s="5" t="n"/>
      <c r="L77" s="5" t="n"/>
      <c r="M77" s="5" t="n"/>
      <c r="N77" s="11">
        <f>IF($A77="","",IF(COUNTIFS('مقدّمو الطلبات'!$A$5:$A$204,$A77,'مقدّمو الطلبات'!$J$5:$J$204,"&lt;&gt;")=0,"",SUMPRODUCT(MAX(('مقدّمو الطلبات'!$A$5:$A$204=$A77)*'مقدّمو الطلبات'!$J$5:$J$204))))</f>
        <v/>
      </c>
      <c r="O77" s="6">
        <f>IF($A77="","",COUNTIFS('مقدّمو الطلبات'!$A$5:$A$204,$A77,'مقدّمو الطلبات'!$K$5:$K$204,"لا"))</f>
        <v/>
      </c>
      <c r="P77" s="12">
        <f>IF($A77="","",IF($C77=0,"بلا مقدّمي طلب",IF($J77="","بلا قرار",IF($O77&gt;0,"ردود مستحقة",IF(OR($J77="غير مخطط لها",$J77="أُطلقت"),"مغلق","مفتوح")))))</f>
        <v/>
      </c>
      <c r="Q77" s="5" t="n"/>
      <c r="R77">
        <f>IF(ISNUMBER($I77),$I77+(1000-ROW())/100000,"")</f>
        <v/>
      </c>
    </row>
    <row r="78">
      <c r="A78" s="4" t="n"/>
      <c r="B78" s="5" t="n"/>
      <c r="C78" s="6">
        <f>IF($A78="","",COUNTIF('مقدّمو الطلبات'!$A$5:$A$204,$A78))</f>
        <v/>
      </c>
      <c r="D78" s="7" t="n"/>
      <c r="E78" s="5" t="n"/>
      <c r="F78" s="8">
        <f>IF($A78="","",SUMIFS('مقدّمو الطلبات'!$F$5:$F$204,'مقدّمو الطلبات'!$A$5:$A$204,$A78,'مقدّمو الطلبات'!$G$5:$G$204,"نعم"))</f>
        <v/>
      </c>
      <c r="G78" s="9" t="n"/>
      <c r="H78" s="9" t="n"/>
      <c r="I78" s="10">
        <f>IF(OR($A78="",$D78="",$E78="",$G78="",$H78=""),"",MIN($C78,'القوائم'!$N$5)+IFERROR(VLOOKUP($D78,'القوائم'!$A$5:$B$8,2,FALSE),0)+IFERROR(VLOOKUP($E78,'القوائم'!$C$5:$D$7,2,FALSE),0)+IF($F78&gt;='القوائم'!$N$6,2,IF($F78&gt;0,1,0))+IFERROR(VLOOKUP($G78,'القوائم'!$E$5:$F$7,2,FALSE),0)+IFERROR(VLOOKUP($H78,'القوائم'!$G$5:$H$7,2,FALSE),0))</f>
        <v/>
      </c>
      <c r="J78" s="7" t="n"/>
      <c r="K78" s="5" t="n"/>
      <c r="L78" s="5" t="n"/>
      <c r="M78" s="5" t="n"/>
      <c r="N78" s="11">
        <f>IF($A78="","",IF(COUNTIFS('مقدّمو الطلبات'!$A$5:$A$204,$A78,'مقدّمو الطلبات'!$J$5:$J$204,"&lt;&gt;")=0,"",SUMPRODUCT(MAX(('مقدّمو الطلبات'!$A$5:$A$204=$A78)*'مقدّمو الطلبات'!$J$5:$J$204))))</f>
        <v/>
      </c>
      <c r="O78" s="6">
        <f>IF($A78="","",COUNTIFS('مقدّمو الطلبات'!$A$5:$A$204,$A78,'مقدّمو الطلبات'!$K$5:$K$204,"لا"))</f>
        <v/>
      </c>
      <c r="P78" s="12">
        <f>IF($A78="","",IF($C78=0,"بلا مقدّمي طلب",IF($J78="","بلا قرار",IF($O78&gt;0,"ردود مستحقة",IF(OR($J78="غير مخطط لها",$J78="أُطلقت"),"مغلق","مفتوح")))))</f>
        <v/>
      </c>
      <c r="Q78" s="5" t="n"/>
      <c r="R78">
        <f>IF(ISNUMBER($I78),$I78+(1000-ROW())/100000,"")</f>
        <v/>
      </c>
    </row>
    <row r="79">
      <c r="A79" s="4" t="n"/>
      <c r="B79" s="5" t="n"/>
      <c r="C79" s="6">
        <f>IF($A79="","",COUNTIF('مقدّمو الطلبات'!$A$5:$A$204,$A79))</f>
        <v/>
      </c>
      <c r="D79" s="7" t="n"/>
      <c r="E79" s="5" t="n"/>
      <c r="F79" s="8">
        <f>IF($A79="","",SUMIFS('مقدّمو الطلبات'!$F$5:$F$204,'مقدّمو الطلبات'!$A$5:$A$204,$A79,'مقدّمو الطلبات'!$G$5:$G$204,"نعم"))</f>
        <v/>
      </c>
      <c r="G79" s="9" t="n"/>
      <c r="H79" s="9" t="n"/>
      <c r="I79" s="10">
        <f>IF(OR($A79="",$D79="",$E79="",$G79="",$H79=""),"",MIN($C79,'القوائم'!$N$5)+IFERROR(VLOOKUP($D79,'القوائم'!$A$5:$B$8,2,FALSE),0)+IFERROR(VLOOKUP($E79,'القوائم'!$C$5:$D$7,2,FALSE),0)+IF($F79&gt;='القوائم'!$N$6,2,IF($F79&gt;0,1,0))+IFERROR(VLOOKUP($G79,'القوائم'!$E$5:$F$7,2,FALSE),0)+IFERROR(VLOOKUP($H79,'القوائم'!$G$5:$H$7,2,FALSE),0))</f>
        <v/>
      </c>
      <c r="J79" s="7" t="n"/>
      <c r="K79" s="5" t="n"/>
      <c r="L79" s="5" t="n"/>
      <c r="M79" s="5" t="n"/>
      <c r="N79" s="11">
        <f>IF($A79="","",IF(COUNTIFS('مقدّمو الطلبات'!$A$5:$A$204,$A79,'مقدّمو الطلبات'!$J$5:$J$204,"&lt;&gt;")=0,"",SUMPRODUCT(MAX(('مقدّمو الطلبات'!$A$5:$A$204=$A79)*'مقدّمو الطلبات'!$J$5:$J$204))))</f>
        <v/>
      </c>
      <c r="O79" s="6">
        <f>IF($A79="","",COUNTIFS('مقدّمو الطلبات'!$A$5:$A$204,$A79,'مقدّمو الطلبات'!$K$5:$K$204,"لا"))</f>
        <v/>
      </c>
      <c r="P79" s="12">
        <f>IF($A79="","",IF($C79=0,"بلا مقدّمي طلب",IF($J79="","بلا قرار",IF($O79&gt;0,"ردود مستحقة",IF(OR($J79="غير مخطط لها",$J79="أُطلقت"),"مغلق","مفتوح")))))</f>
        <v/>
      </c>
      <c r="Q79" s="5" t="n"/>
      <c r="R79">
        <f>IF(ISNUMBER($I79),$I79+(1000-ROW())/100000,"")</f>
        <v/>
      </c>
    </row>
    <row r="80">
      <c r="A80" s="4" t="n"/>
      <c r="B80" s="5" t="n"/>
      <c r="C80" s="6">
        <f>IF($A80="","",COUNTIF('مقدّمو الطلبات'!$A$5:$A$204,$A80))</f>
        <v/>
      </c>
      <c r="D80" s="7" t="n"/>
      <c r="E80" s="5" t="n"/>
      <c r="F80" s="8">
        <f>IF($A80="","",SUMIFS('مقدّمو الطلبات'!$F$5:$F$204,'مقدّمو الطلبات'!$A$5:$A$204,$A80,'مقدّمو الطلبات'!$G$5:$G$204,"نعم"))</f>
        <v/>
      </c>
      <c r="G80" s="9" t="n"/>
      <c r="H80" s="9" t="n"/>
      <c r="I80" s="10">
        <f>IF(OR($A80="",$D80="",$E80="",$G80="",$H80=""),"",MIN($C80,'القوائم'!$N$5)+IFERROR(VLOOKUP($D80,'القوائم'!$A$5:$B$8,2,FALSE),0)+IFERROR(VLOOKUP($E80,'القوائم'!$C$5:$D$7,2,FALSE),0)+IF($F80&gt;='القوائم'!$N$6,2,IF($F80&gt;0,1,0))+IFERROR(VLOOKUP($G80,'القوائم'!$E$5:$F$7,2,FALSE),0)+IFERROR(VLOOKUP($H80,'القوائم'!$G$5:$H$7,2,FALSE),0))</f>
        <v/>
      </c>
      <c r="J80" s="7" t="n"/>
      <c r="K80" s="5" t="n"/>
      <c r="L80" s="5" t="n"/>
      <c r="M80" s="5" t="n"/>
      <c r="N80" s="11">
        <f>IF($A80="","",IF(COUNTIFS('مقدّمو الطلبات'!$A$5:$A$204,$A80,'مقدّمو الطلبات'!$J$5:$J$204,"&lt;&gt;")=0,"",SUMPRODUCT(MAX(('مقدّمو الطلبات'!$A$5:$A$204=$A80)*'مقدّمو الطلبات'!$J$5:$J$204))))</f>
        <v/>
      </c>
      <c r="O80" s="6">
        <f>IF($A80="","",COUNTIFS('مقدّمو الطلبات'!$A$5:$A$204,$A80,'مقدّمو الطلبات'!$K$5:$K$204,"لا"))</f>
        <v/>
      </c>
      <c r="P80" s="12">
        <f>IF($A80="","",IF($C80=0,"بلا مقدّمي طلب",IF($J80="","بلا قرار",IF($O80&gt;0,"ردود مستحقة",IF(OR($J80="غير مخطط لها",$J80="أُطلقت"),"مغلق","مفتوح")))))</f>
        <v/>
      </c>
      <c r="Q80" s="5" t="n"/>
      <c r="R80">
        <f>IF(ISNUMBER($I80),$I80+(1000-ROW())/100000,"")</f>
        <v/>
      </c>
    </row>
    <row r="81">
      <c r="A81" s="4" t="n"/>
      <c r="B81" s="5" t="n"/>
      <c r="C81" s="6">
        <f>IF($A81="","",COUNTIF('مقدّمو الطلبات'!$A$5:$A$204,$A81))</f>
        <v/>
      </c>
      <c r="D81" s="7" t="n"/>
      <c r="E81" s="5" t="n"/>
      <c r="F81" s="8">
        <f>IF($A81="","",SUMIFS('مقدّمو الطلبات'!$F$5:$F$204,'مقدّمو الطلبات'!$A$5:$A$204,$A81,'مقدّمو الطلبات'!$G$5:$G$204,"نعم"))</f>
        <v/>
      </c>
      <c r="G81" s="9" t="n"/>
      <c r="H81" s="9" t="n"/>
      <c r="I81" s="10">
        <f>IF(OR($A81="",$D81="",$E81="",$G81="",$H81=""),"",MIN($C81,'القوائم'!$N$5)+IFERROR(VLOOKUP($D81,'القوائم'!$A$5:$B$8,2,FALSE),0)+IFERROR(VLOOKUP($E81,'القوائم'!$C$5:$D$7,2,FALSE),0)+IF($F81&gt;='القوائم'!$N$6,2,IF($F81&gt;0,1,0))+IFERROR(VLOOKUP($G81,'القوائم'!$E$5:$F$7,2,FALSE),0)+IFERROR(VLOOKUP($H81,'القوائم'!$G$5:$H$7,2,FALSE),0))</f>
        <v/>
      </c>
      <c r="J81" s="7" t="n"/>
      <c r="K81" s="5" t="n"/>
      <c r="L81" s="5" t="n"/>
      <c r="M81" s="5" t="n"/>
      <c r="N81" s="11">
        <f>IF($A81="","",IF(COUNTIFS('مقدّمو الطلبات'!$A$5:$A$204,$A81,'مقدّمو الطلبات'!$J$5:$J$204,"&lt;&gt;")=0,"",SUMPRODUCT(MAX(('مقدّمو الطلبات'!$A$5:$A$204=$A81)*'مقدّمو الطلبات'!$J$5:$J$204))))</f>
        <v/>
      </c>
      <c r="O81" s="6">
        <f>IF($A81="","",COUNTIFS('مقدّمو الطلبات'!$A$5:$A$204,$A81,'مقدّمو الطلبات'!$K$5:$K$204,"لا"))</f>
        <v/>
      </c>
      <c r="P81" s="12">
        <f>IF($A81="","",IF($C81=0,"بلا مقدّمي طلب",IF($J81="","بلا قرار",IF($O81&gt;0,"ردود مستحقة",IF(OR($J81="غير مخطط لها",$J81="أُطلقت"),"مغلق","مفتوح")))))</f>
        <v/>
      </c>
      <c r="Q81" s="5" t="n"/>
      <c r="R81">
        <f>IF(ISNUMBER($I81),$I81+(1000-ROW())/100000,"")</f>
        <v/>
      </c>
    </row>
    <row r="82">
      <c r="A82" s="4" t="n"/>
      <c r="B82" s="5" t="n"/>
      <c r="C82" s="6">
        <f>IF($A82="","",COUNTIF('مقدّمو الطلبات'!$A$5:$A$204,$A82))</f>
        <v/>
      </c>
      <c r="D82" s="7" t="n"/>
      <c r="E82" s="5" t="n"/>
      <c r="F82" s="8">
        <f>IF($A82="","",SUMIFS('مقدّمو الطلبات'!$F$5:$F$204,'مقدّمو الطلبات'!$A$5:$A$204,$A82,'مقدّمو الطلبات'!$G$5:$G$204,"نعم"))</f>
        <v/>
      </c>
      <c r="G82" s="9" t="n"/>
      <c r="H82" s="9" t="n"/>
      <c r="I82" s="10">
        <f>IF(OR($A82="",$D82="",$E82="",$G82="",$H82=""),"",MIN($C82,'القوائم'!$N$5)+IFERROR(VLOOKUP($D82,'القوائم'!$A$5:$B$8,2,FALSE),0)+IFERROR(VLOOKUP($E82,'القوائم'!$C$5:$D$7,2,FALSE),0)+IF($F82&gt;='القوائم'!$N$6,2,IF($F82&gt;0,1,0))+IFERROR(VLOOKUP($G82,'القوائم'!$E$5:$F$7,2,FALSE),0)+IFERROR(VLOOKUP($H82,'القوائم'!$G$5:$H$7,2,FALSE),0))</f>
        <v/>
      </c>
      <c r="J82" s="7" t="n"/>
      <c r="K82" s="5" t="n"/>
      <c r="L82" s="5" t="n"/>
      <c r="M82" s="5" t="n"/>
      <c r="N82" s="11">
        <f>IF($A82="","",IF(COUNTIFS('مقدّمو الطلبات'!$A$5:$A$204,$A82,'مقدّمو الطلبات'!$J$5:$J$204,"&lt;&gt;")=0,"",SUMPRODUCT(MAX(('مقدّمو الطلبات'!$A$5:$A$204=$A82)*'مقدّمو الطلبات'!$J$5:$J$204))))</f>
        <v/>
      </c>
      <c r="O82" s="6">
        <f>IF($A82="","",COUNTIFS('مقدّمو الطلبات'!$A$5:$A$204,$A82,'مقدّمو الطلبات'!$K$5:$K$204,"لا"))</f>
        <v/>
      </c>
      <c r="P82" s="12">
        <f>IF($A82="","",IF($C82=0,"بلا مقدّمي طلب",IF($J82="","بلا قرار",IF($O82&gt;0,"ردود مستحقة",IF(OR($J82="غير مخطط لها",$J82="أُطلقت"),"مغلق","مفتوح")))))</f>
        <v/>
      </c>
      <c r="Q82" s="5" t="n"/>
      <c r="R82">
        <f>IF(ISNUMBER($I82),$I82+(1000-ROW())/100000,"")</f>
        <v/>
      </c>
    </row>
    <row r="83">
      <c r="A83" s="4" t="n"/>
      <c r="B83" s="5" t="n"/>
      <c r="C83" s="6">
        <f>IF($A83="","",COUNTIF('مقدّمو الطلبات'!$A$5:$A$204,$A83))</f>
        <v/>
      </c>
      <c r="D83" s="7" t="n"/>
      <c r="E83" s="5" t="n"/>
      <c r="F83" s="8">
        <f>IF($A83="","",SUMIFS('مقدّمو الطلبات'!$F$5:$F$204,'مقدّمو الطلبات'!$A$5:$A$204,$A83,'مقدّمو الطلبات'!$G$5:$G$204,"نعم"))</f>
        <v/>
      </c>
      <c r="G83" s="9" t="n"/>
      <c r="H83" s="9" t="n"/>
      <c r="I83" s="10">
        <f>IF(OR($A83="",$D83="",$E83="",$G83="",$H83=""),"",MIN($C83,'القوائم'!$N$5)+IFERROR(VLOOKUP($D83,'القوائم'!$A$5:$B$8,2,FALSE),0)+IFERROR(VLOOKUP($E83,'القوائم'!$C$5:$D$7,2,FALSE),0)+IF($F83&gt;='القوائم'!$N$6,2,IF($F83&gt;0,1,0))+IFERROR(VLOOKUP($G83,'القوائم'!$E$5:$F$7,2,FALSE),0)+IFERROR(VLOOKUP($H83,'القوائم'!$G$5:$H$7,2,FALSE),0))</f>
        <v/>
      </c>
      <c r="J83" s="7" t="n"/>
      <c r="K83" s="5" t="n"/>
      <c r="L83" s="5" t="n"/>
      <c r="M83" s="5" t="n"/>
      <c r="N83" s="11">
        <f>IF($A83="","",IF(COUNTIFS('مقدّمو الطلبات'!$A$5:$A$204,$A83,'مقدّمو الطلبات'!$J$5:$J$204,"&lt;&gt;")=0,"",SUMPRODUCT(MAX(('مقدّمو الطلبات'!$A$5:$A$204=$A83)*'مقدّمو الطلبات'!$J$5:$J$204))))</f>
        <v/>
      </c>
      <c r="O83" s="6">
        <f>IF($A83="","",COUNTIFS('مقدّمو الطلبات'!$A$5:$A$204,$A83,'مقدّمو الطلبات'!$K$5:$K$204,"لا"))</f>
        <v/>
      </c>
      <c r="P83" s="12">
        <f>IF($A83="","",IF($C83=0,"بلا مقدّمي طلب",IF($J83="","بلا قرار",IF($O83&gt;0,"ردود مستحقة",IF(OR($J83="غير مخطط لها",$J83="أُطلقت"),"مغلق","مفتوح")))))</f>
        <v/>
      </c>
      <c r="Q83" s="5" t="n"/>
      <c r="R83">
        <f>IF(ISNUMBER($I83),$I83+(1000-ROW())/100000,"")</f>
        <v/>
      </c>
    </row>
    <row r="84">
      <c r="A84" s="4" t="n"/>
      <c r="B84" s="5" t="n"/>
      <c r="C84" s="6">
        <f>IF($A84="","",COUNTIF('مقدّمو الطلبات'!$A$5:$A$204,$A84))</f>
        <v/>
      </c>
      <c r="D84" s="7" t="n"/>
      <c r="E84" s="5" t="n"/>
      <c r="F84" s="8">
        <f>IF($A84="","",SUMIFS('مقدّمو الطلبات'!$F$5:$F$204,'مقدّمو الطلبات'!$A$5:$A$204,$A84,'مقدّمو الطلبات'!$G$5:$G$204,"نعم"))</f>
        <v/>
      </c>
      <c r="G84" s="9" t="n"/>
      <c r="H84" s="9" t="n"/>
      <c r="I84" s="10">
        <f>IF(OR($A84="",$D84="",$E84="",$G84="",$H84=""),"",MIN($C84,'القوائم'!$N$5)+IFERROR(VLOOKUP($D84,'القوائم'!$A$5:$B$8,2,FALSE),0)+IFERROR(VLOOKUP($E84,'القوائم'!$C$5:$D$7,2,FALSE),0)+IF($F84&gt;='القوائم'!$N$6,2,IF($F84&gt;0,1,0))+IFERROR(VLOOKUP($G84,'القوائم'!$E$5:$F$7,2,FALSE),0)+IFERROR(VLOOKUP($H84,'القوائم'!$G$5:$H$7,2,FALSE),0))</f>
        <v/>
      </c>
      <c r="J84" s="7" t="n"/>
      <c r="K84" s="5" t="n"/>
      <c r="L84" s="5" t="n"/>
      <c r="M84" s="5" t="n"/>
      <c r="N84" s="11">
        <f>IF($A84="","",IF(COUNTIFS('مقدّمو الطلبات'!$A$5:$A$204,$A84,'مقدّمو الطلبات'!$J$5:$J$204,"&lt;&gt;")=0,"",SUMPRODUCT(MAX(('مقدّمو الطلبات'!$A$5:$A$204=$A84)*'مقدّمو الطلبات'!$J$5:$J$204))))</f>
        <v/>
      </c>
      <c r="O84" s="6">
        <f>IF($A84="","",COUNTIFS('مقدّمو الطلبات'!$A$5:$A$204,$A84,'مقدّمو الطلبات'!$K$5:$K$204,"لا"))</f>
        <v/>
      </c>
      <c r="P84" s="12">
        <f>IF($A84="","",IF($C84=0,"بلا مقدّمي طلب",IF($J84="","بلا قرار",IF($O84&gt;0,"ردود مستحقة",IF(OR($J84="غير مخطط لها",$J84="أُطلقت"),"مغلق","مفتوح")))))</f>
        <v/>
      </c>
      <c r="Q84" s="5" t="n"/>
      <c r="R84">
        <f>IF(ISNUMBER($I84),$I84+(1000-ROW())/100000,"")</f>
        <v/>
      </c>
    </row>
    <row r="85">
      <c r="A85" s="4" t="n"/>
      <c r="B85" s="5" t="n"/>
      <c r="C85" s="6">
        <f>IF($A85="","",COUNTIF('مقدّمو الطلبات'!$A$5:$A$204,$A85))</f>
        <v/>
      </c>
      <c r="D85" s="7" t="n"/>
      <c r="E85" s="5" t="n"/>
      <c r="F85" s="8">
        <f>IF($A85="","",SUMIFS('مقدّمو الطلبات'!$F$5:$F$204,'مقدّمو الطلبات'!$A$5:$A$204,$A85,'مقدّمو الطلبات'!$G$5:$G$204,"نعم"))</f>
        <v/>
      </c>
      <c r="G85" s="9" t="n"/>
      <c r="H85" s="9" t="n"/>
      <c r="I85" s="10">
        <f>IF(OR($A85="",$D85="",$E85="",$G85="",$H85=""),"",MIN($C85,'القوائم'!$N$5)+IFERROR(VLOOKUP($D85,'القوائم'!$A$5:$B$8,2,FALSE),0)+IFERROR(VLOOKUP($E85,'القوائم'!$C$5:$D$7,2,FALSE),0)+IF($F85&gt;='القوائم'!$N$6,2,IF($F85&gt;0,1,0))+IFERROR(VLOOKUP($G85,'القوائم'!$E$5:$F$7,2,FALSE),0)+IFERROR(VLOOKUP($H85,'القوائم'!$G$5:$H$7,2,FALSE),0))</f>
        <v/>
      </c>
      <c r="J85" s="7" t="n"/>
      <c r="K85" s="5" t="n"/>
      <c r="L85" s="5" t="n"/>
      <c r="M85" s="5" t="n"/>
      <c r="N85" s="11">
        <f>IF($A85="","",IF(COUNTIFS('مقدّمو الطلبات'!$A$5:$A$204,$A85,'مقدّمو الطلبات'!$J$5:$J$204,"&lt;&gt;")=0,"",SUMPRODUCT(MAX(('مقدّمو الطلبات'!$A$5:$A$204=$A85)*'مقدّمو الطلبات'!$J$5:$J$204))))</f>
        <v/>
      </c>
      <c r="O85" s="6">
        <f>IF($A85="","",COUNTIFS('مقدّمو الطلبات'!$A$5:$A$204,$A85,'مقدّمو الطلبات'!$K$5:$K$204,"لا"))</f>
        <v/>
      </c>
      <c r="P85" s="12">
        <f>IF($A85="","",IF($C85=0,"بلا مقدّمي طلب",IF($J85="","بلا قرار",IF($O85&gt;0,"ردود مستحقة",IF(OR($J85="غير مخطط لها",$J85="أُطلقت"),"مغلق","مفتوح")))))</f>
        <v/>
      </c>
      <c r="Q85" s="5" t="n"/>
      <c r="R85">
        <f>IF(ISNUMBER($I85),$I85+(1000-ROW())/100000,"")</f>
        <v/>
      </c>
    </row>
    <row r="86">
      <c r="A86" s="4" t="n"/>
      <c r="B86" s="5" t="n"/>
      <c r="C86" s="6">
        <f>IF($A86="","",COUNTIF('مقدّمو الطلبات'!$A$5:$A$204,$A86))</f>
        <v/>
      </c>
      <c r="D86" s="7" t="n"/>
      <c r="E86" s="5" t="n"/>
      <c r="F86" s="8">
        <f>IF($A86="","",SUMIFS('مقدّمو الطلبات'!$F$5:$F$204,'مقدّمو الطلبات'!$A$5:$A$204,$A86,'مقدّمو الطلبات'!$G$5:$G$204,"نعم"))</f>
        <v/>
      </c>
      <c r="G86" s="9" t="n"/>
      <c r="H86" s="9" t="n"/>
      <c r="I86" s="10">
        <f>IF(OR($A86="",$D86="",$E86="",$G86="",$H86=""),"",MIN($C86,'القوائم'!$N$5)+IFERROR(VLOOKUP($D86,'القوائم'!$A$5:$B$8,2,FALSE),0)+IFERROR(VLOOKUP($E86,'القوائم'!$C$5:$D$7,2,FALSE),0)+IF($F86&gt;='القوائم'!$N$6,2,IF($F86&gt;0,1,0))+IFERROR(VLOOKUP($G86,'القوائم'!$E$5:$F$7,2,FALSE),0)+IFERROR(VLOOKUP($H86,'القوائم'!$G$5:$H$7,2,FALSE),0))</f>
        <v/>
      </c>
      <c r="J86" s="7" t="n"/>
      <c r="K86" s="5" t="n"/>
      <c r="L86" s="5" t="n"/>
      <c r="M86" s="5" t="n"/>
      <c r="N86" s="11">
        <f>IF($A86="","",IF(COUNTIFS('مقدّمو الطلبات'!$A$5:$A$204,$A86,'مقدّمو الطلبات'!$J$5:$J$204,"&lt;&gt;")=0,"",SUMPRODUCT(MAX(('مقدّمو الطلبات'!$A$5:$A$204=$A86)*'مقدّمو الطلبات'!$J$5:$J$204))))</f>
        <v/>
      </c>
      <c r="O86" s="6">
        <f>IF($A86="","",COUNTIFS('مقدّمو الطلبات'!$A$5:$A$204,$A86,'مقدّمو الطلبات'!$K$5:$K$204,"لا"))</f>
        <v/>
      </c>
      <c r="P86" s="12">
        <f>IF($A86="","",IF($C86=0,"بلا مقدّمي طلب",IF($J86="","بلا قرار",IF($O86&gt;0,"ردود مستحقة",IF(OR($J86="غير مخطط لها",$J86="أُطلقت"),"مغلق","مفتوح")))))</f>
        <v/>
      </c>
      <c r="Q86" s="5" t="n"/>
      <c r="R86">
        <f>IF(ISNUMBER($I86),$I86+(1000-ROW())/100000,"")</f>
        <v/>
      </c>
    </row>
    <row r="87">
      <c r="A87" s="4" t="n"/>
      <c r="B87" s="5" t="n"/>
      <c r="C87" s="6">
        <f>IF($A87="","",COUNTIF('مقدّمو الطلبات'!$A$5:$A$204,$A87))</f>
        <v/>
      </c>
      <c r="D87" s="7" t="n"/>
      <c r="E87" s="5" t="n"/>
      <c r="F87" s="8">
        <f>IF($A87="","",SUMIFS('مقدّمو الطلبات'!$F$5:$F$204,'مقدّمو الطلبات'!$A$5:$A$204,$A87,'مقدّمو الطلبات'!$G$5:$G$204,"نعم"))</f>
        <v/>
      </c>
      <c r="G87" s="9" t="n"/>
      <c r="H87" s="9" t="n"/>
      <c r="I87" s="10">
        <f>IF(OR($A87="",$D87="",$E87="",$G87="",$H87=""),"",MIN($C87,'القوائم'!$N$5)+IFERROR(VLOOKUP($D87,'القوائم'!$A$5:$B$8,2,FALSE),0)+IFERROR(VLOOKUP($E87,'القوائم'!$C$5:$D$7,2,FALSE),0)+IF($F87&gt;='القوائم'!$N$6,2,IF($F87&gt;0,1,0))+IFERROR(VLOOKUP($G87,'القوائم'!$E$5:$F$7,2,FALSE),0)+IFERROR(VLOOKUP($H87,'القوائم'!$G$5:$H$7,2,FALSE),0))</f>
        <v/>
      </c>
      <c r="J87" s="7" t="n"/>
      <c r="K87" s="5" t="n"/>
      <c r="L87" s="5" t="n"/>
      <c r="M87" s="5" t="n"/>
      <c r="N87" s="11">
        <f>IF($A87="","",IF(COUNTIFS('مقدّمو الطلبات'!$A$5:$A$204,$A87,'مقدّمو الطلبات'!$J$5:$J$204,"&lt;&gt;")=0,"",SUMPRODUCT(MAX(('مقدّمو الطلبات'!$A$5:$A$204=$A87)*'مقدّمو الطلبات'!$J$5:$J$204))))</f>
        <v/>
      </c>
      <c r="O87" s="6">
        <f>IF($A87="","",COUNTIFS('مقدّمو الطلبات'!$A$5:$A$204,$A87,'مقدّمو الطلبات'!$K$5:$K$204,"لا"))</f>
        <v/>
      </c>
      <c r="P87" s="12">
        <f>IF($A87="","",IF($C87=0,"بلا مقدّمي طلب",IF($J87="","بلا قرار",IF($O87&gt;0,"ردود مستحقة",IF(OR($J87="غير مخطط لها",$J87="أُطلقت"),"مغلق","مفتوح")))))</f>
        <v/>
      </c>
      <c r="Q87" s="5" t="n"/>
      <c r="R87">
        <f>IF(ISNUMBER($I87),$I87+(1000-ROW())/100000,"")</f>
        <v/>
      </c>
    </row>
    <row r="88">
      <c r="A88" s="4" t="n"/>
      <c r="B88" s="5" t="n"/>
      <c r="C88" s="6">
        <f>IF($A88="","",COUNTIF('مقدّمو الطلبات'!$A$5:$A$204,$A88))</f>
        <v/>
      </c>
      <c r="D88" s="7" t="n"/>
      <c r="E88" s="5" t="n"/>
      <c r="F88" s="8">
        <f>IF($A88="","",SUMIFS('مقدّمو الطلبات'!$F$5:$F$204,'مقدّمو الطلبات'!$A$5:$A$204,$A88,'مقدّمو الطلبات'!$G$5:$G$204,"نعم"))</f>
        <v/>
      </c>
      <c r="G88" s="9" t="n"/>
      <c r="H88" s="9" t="n"/>
      <c r="I88" s="10">
        <f>IF(OR($A88="",$D88="",$E88="",$G88="",$H88=""),"",MIN($C88,'القوائم'!$N$5)+IFERROR(VLOOKUP($D88,'القوائم'!$A$5:$B$8,2,FALSE),0)+IFERROR(VLOOKUP($E88,'القوائم'!$C$5:$D$7,2,FALSE),0)+IF($F88&gt;='القوائم'!$N$6,2,IF($F88&gt;0,1,0))+IFERROR(VLOOKUP($G88,'القوائم'!$E$5:$F$7,2,FALSE),0)+IFERROR(VLOOKUP($H88,'القوائم'!$G$5:$H$7,2,FALSE),0))</f>
        <v/>
      </c>
      <c r="J88" s="7" t="n"/>
      <c r="K88" s="5" t="n"/>
      <c r="L88" s="5" t="n"/>
      <c r="M88" s="5" t="n"/>
      <c r="N88" s="11">
        <f>IF($A88="","",IF(COUNTIFS('مقدّمو الطلبات'!$A$5:$A$204,$A88,'مقدّمو الطلبات'!$J$5:$J$204,"&lt;&gt;")=0,"",SUMPRODUCT(MAX(('مقدّمو الطلبات'!$A$5:$A$204=$A88)*'مقدّمو الطلبات'!$J$5:$J$204))))</f>
        <v/>
      </c>
      <c r="O88" s="6">
        <f>IF($A88="","",COUNTIFS('مقدّمو الطلبات'!$A$5:$A$204,$A88,'مقدّمو الطلبات'!$K$5:$K$204,"لا"))</f>
        <v/>
      </c>
      <c r="P88" s="12">
        <f>IF($A88="","",IF($C88=0,"بلا مقدّمي طلب",IF($J88="","بلا قرار",IF($O88&gt;0,"ردود مستحقة",IF(OR($J88="غير مخطط لها",$J88="أُطلقت"),"مغلق","مفتوح")))))</f>
        <v/>
      </c>
      <c r="Q88" s="5" t="n"/>
      <c r="R88">
        <f>IF(ISNUMBER($I88),$I88+(1000-ROW())/100000,"")</f>
        <v/>
      </c>
    </row>
    <row r="89">
      <c r="A89" s="4" t="n"/>
      <c r="B89" s="5" t="n"/>
      <c r="C89" s="6">
        <f>IF($A89="","",COUNTIF('مقدّمو الطلبات'!$A$5:$A$204,$A89))</f>
        <v/>
      </c>
      <c r="D89" s="7" t="n"/>
      <c r="E89" s="5" t="n"/>
      <c r="F89" s="8">
        <f>IF($A89="","",SUMIFS('مقدّمو الطلبات'!$F$5:$F$204,'مقدّمو الطلبات'!$A$5:$A$204,$A89,'مقدّمو الطلبات'!$G$5:$G$204,"نعم"))</f>
        <v/>
      </c>
      <c r="G89" s="9" t="n"/>
      <c r="H89" s="9" t="n"/>
      <c r="I89" s="10">
        <f>IF(OR($A89="",$D89="",$E89="",$G89="",$H89=""),"",MIN($C89,'القوائم'!$N$5)+IFERROR(VLOOKUP($D89,'القوائم'!$A$5:$B$8,2,FALSE),0)+IFERROR(VLOOKUP($E89,'القوائم'!$C$5:$D$7,2,FALSE),0)+IF($F89&gt;='القوائم'!$N$6,2,IF($F89&gt;0,1,0))+IFERROR(VLOOKUP($G89,'القوائم'!$E$5:$F$7,2,FALSE),0)+IFERROR(VLOOKUP($H89,'القوائم'!$G$5:$H$7,2,FALSE),0))</f>
        <v/>
      </c>
      <c r="J89" s="7" t="n"/>
      <c r="K89" s="5" t="n"/>
      <c r="L89" s="5" t="n"/>
      <c r="M89" s="5" t="n"/>
      <c r="N89" s="11">
        <f>IF($A89="","",IF(COUNTIFS('مقدّمو الطلبات'!$A$5:$A$204,$A89,'مقدّمو الطلبات'!$J$5:$J$204,"&lt;&gt;")=0,"",SUMPRODUCT(MAX(('مقدّمو الطلبات'!$A$5:$A$204=$A89)*'مقدّمو الطلبات'!$J$5:$J$204))))</f>
        <v/>
      </c>
      <c r="O89" s="6">
        <f>IF($A89="","",COUNTIFS('مقدّمو الطلبات'!$A$5:$A$204,$A89,'مقدّمو الطلبات'!$K$5:$K$204,"لا"))</f>
        <v/>
      </c>
      <c r="P89" s="12">
        <f>IF($A89="","",IF($C89=0,"بلا مقدّمي طلب",IF($J89="","بلا قرار",IF($O89&gt;0,"ردود مستحقة",IF(OR($J89="غير مخطط لها",$J89="أُطلقت"),"مغلق","مفتوح")))))</f>
        <v/>
      </c>
      <c r="Q89" s="5" t="n"/>
      <c r="R89">
        <f>IF(ISNUMBER($I89),$I89+(1000-ROW())/100000,"")</f>
        <v/>
      </c>
    </row>
    <row r="90">
      <c r="A90" s="4" t="n"/>
      <c r="B90" s="5" t="n"/>
      <c r="C90" s="6">
        <f>IF($A90="","",COUNTIF('مقدّمو الطلبات'!$A$5:$A$204,$A90))</f>
        <v/>
      </c>
      <c r="D90" s="7" t="n"/>
      <c r="E90" s="5" t="n"/>
      <c r="F90" s="8">
        <f>IF($A90="","",SUMIFS('مقدّمو الطلبات'!$F$5:$F$204,'مقدّمو الطلبات'!$A$5:$A$204,$A90,'مقدّمو الطلبات'!$G$5:$G$204,"نعم"))</f>
        <v/>
      </c>
      <c r="G90" s="9" t="n"/>
      <c r="H90" s="9" t="n"/>
      <c r="I90" s="10">
        <f>IF(OR($A90="",$D90="",$E90="",$G90="",$H90=""),"",MIN($C90,'القوائم'!$N$5)+IFERROR(VLOOKUP($D90,'القوائم'!$A$5:$B$8,2,FALSE),0)+IFERROR(VLOOKUP($E90,'القوائم'!$C$5:$D$7,2,FALSE),0)+IF($F90&gt;='القوائم'!$N$6,2,IF($F90&gt;0,1,0))+IFERROR(VLOOKUP($G90,'القوائم'!$E$5:$F$7,2,FALSE),0)+IFERROR(VLOOKUP($H90,'القوائم'!$G$5:$H$7,2,FALSE),0))</f>
        <v/>
      </c>
      <c r="J90" s="7" t="n"/>
      <c r="K90" s="5" t="n"/>
      <c r="L90" s="5" t="n"/>
      <c r="M90" s="5" t="n"/>
      <c r="N90" s="11">
        <f>IF($A90="","",IF(COUNTIFS('مقدّمو الطلبات'!$A$5:$A$204,$A90,'مقدّمو الطلبات'!$J$5:$J$204,"&lt;&gt;")=0,"",SUMPRODUCT(MAX(('مقدّمو الطلبات'!$A$5:$A$204=$A90)*'مقدّمو الطلبات'!$J$5:$J$204))))</f>
        <v/>
      </c>
      <c r="O90" s="6">
        <f>IF($A90="","",COUNTIFS('مقدّمو الطلبات'!$A$5:$A$204,$A90,'مقدّمو الطلبات'!$K$5:$K$204,"لا"))</f>
        <v/>
      </c>
      <c r="P90" s="12">
        <f>IF($A90="","",IF($C90=0,"بلا مقدّمي طلب",IF($J90="","بلا قرار",IF($O90&gt;0,"ردود مستحقة",IF(OR($J90="غير مخطط لها",$J90="أُطلقت"),"مغلق","مفتوح")))))</f>
        <v/>
      </c>
      <c r="Q90" s="5" t="n"/>
      <c r="R90">
        <f>IF(ISNUMBER($I90),$I90+(1000-ROW())/100000,"")</f>
        <v/>
      </c>
    </row>
    <row r="91">
      <c r="A91" s="4" t="n"/>
      <c r="B91" s="5" t="n"/>
      <c r="C91" s="6">
        <f>IF($A91="","",COUNTIF('مقدّمو الطلبات'!$A$5:$A$204,$A91))</f>
        <v/>
      </c>
      <c r="D91" s="7" t="n"/>
      <c r="E91" s="5" t="n"/>
      <c r="F91" s="8">
        <f>IF($A91="","",SUMIFS('مقدّمو الطلبات'!$F$5:$F$204,'مقدّمو الطلبات'!$A$5:$A$204,$A91,'مقدّمو الطلبات'!$G$5:$G$204,"نعم"))</f>
        <v/>
      </c>
      <c r="G91" s="9" t="n"/>
      <c r="H91" s="9" t="n"/>
      <c r="I91" s="10">
        <f>IF(OR($A91="",$D91="",$E91="",$G91="",$H91=""),"",MIN($C91,'القوائم'!$N$5)+IFERROR(VLOOKUP($D91,'القوائم'!$A$5:$B$8,2,FALSE),0)+IFERROR(VLOOKUP($E91,'القوائم'!$C$5:$D$7,2,FALSE),0)+IF($F91&gt;='القوائم'!$N$6,2,IF($F91&gt;0,1,0))+IFERROR(VLOOKUP($G91,'القوائم'!$E$5:$F$7,2,FALSE),0)+IFERROR(VLOOKUP($H91,'القوائم'!$G$5:$H$7,2,FALSE),0))</f>
        <v/>
      </c>
      <c r="J91" s="7" t="n"/>
      <c r="K91" s="5" t="n"/>
      <c r="L91" s="5" t="n"/>
      <c r="M91" s="5" t="n"/>
      <c r="N91" s="11">
        <f>IF($A91="","",IF(COUNTIFS('مقدّمو الطلبات'!$A$5:$A$204,$A91,'مقدّمو الطلبات'!$J$5:$J$204,"&lt;&gt;")=0,"",SUMPRODUCT(MAX(('مقدّمو الطلبات'!$A$5:$A$204=$A91)*'مقدّمو الطلبات'!$J$5:$J$204))))</f>
        <v/>
      </c>
      <c r="O91" s="6">
        <f>IF($A91="","",COUNTIFS('مقدّمو الطلبات'!$A$5:$A$204,$A91,'مقدّمو الطلبات'!$K$5:$K$204,"لا"))</f>
        <v/>
      </c>
      <c r="P91" s="12">
        <f>IF($A91="","",IF($C91=0,"بلا مقدّمي طلب",IF($J91="","بلا قرار",IF($O91&gt;0,"ردود مستحقة",IF(OR($J91="غير مخطط لها",$J91="أُطلقت"),"مغلق","مفتوح")))))</f>
        <v/>
      </c>
      <c r="Q91" s="5" t="n"/>
      <c r="R91">
        <f>IF(ISNUMBER($I91),$I91+(1000-ROW())/100000,"")</f>
        <v/>
      </c>
    </row>
    <row r="92">
      <c r="A92" s="4" t="n"/>
      <c r="B92" s="5" t="n"/>
      <c r="C92" s="6">
        <f>IF($A92="","",COUNTIF('مقدّمو الطلبات'!$A$5:$A$204,$A92))</f>
        <v/>
      </c>
      <c r="D92" s="7" t="n"/>
      <c r="E92" s="5" t="n"/>
      <c r="F92" s="8">
        <f>IF($A92="","",SUMIFS('مقدّمو الطلبات'!$F$5:$F$204,'مقدّمو الطلبات'!$A$5:$A$204,$A92,'مقدّمو الطلبات'!$G$5:$G$204,"نعم"))</f>
        <v/>
      </c>
      <c r="G92" s="9" t="n"/>
      <c r="H92" s="9" t="n"/>
      <c r="I92" s="10">
        <f>IF(OR($A92="",$D92="",$E92="",$G92="",$H92=""),"",MIN($C92,'القوائم'!$N$5)+IFERROR(VLOOKUP($D92,'القوائم'!$A$5:$B$8,2,FALSE),0)+IFERROR(VLOOKUP($E92,'القوائم'!$C$5:$D$7,2,FALSE),0)+IF($F92&gt;='القوائم'!$N$6,2,IF($F92&gt;0,1,0))+IFERROR(VLOOKUP($G92,'القوائم'!$E$5:$F$7,2,FALSE),0)+IFERROR(VLOOKUP($H92,'القوائم'!$G$5:$H$7,2,FALSE),0))</f>
        <v/>
      </c>
      <c r="J92" s="7" t="n"/>
      <c r="K92" s="5" t="n"/>
      <c r="L92" s="5" t="n"/>
      <c r="M92" s="5" t="n"/>
      <c r="N92" s="11">
        <f>IF($A92="","",IF(COUNTIFS('مقدّمو الطلبات'!$A$5:$A$204,$A92,'مقدّمو الطلبات'!$J$5:$J$204,"&lt;&gt;")=0,"",SUMPRODUCT(MAX(('مقدّمو الطلبات'!$A$5:$A$204=$A92)*'مقدّمو الطلبات'!$J$5:$J$204))))</f>
        <v/>
      </c>
      <c r="O92" s="6">
        <f>IF($A92="","",COUNTIFS('مقدّمو الطلبات'!$A$5:$A$204,$A92,'مقدّمو الطلبات'!$K$5:$K$204,"لا"))</f>
        <v/>
      </c>
      <c r="P92" s="12">
        <f>IF($A92="","",IF($C92=0,"بلا مقدّمي طلب",IF($J92="","بلا قرار",IF($O92&gt;0,"ردود مستحقة",IF(OR($J92="غير مخطط لها",$J92="أُطلقت"),"مغلق","مفتوح")))))</f>
        <v/>
      </c>
      <c r="Q92" s="5" t="n"/>
      <c r="R92">
        <f>IF(ISNUMBER($I92),$I92+(1000-ROW())/100000,"")</f>
        <v/>
      </c>
    </row>
    <row r="93">
      <c r="A93" s="4" t="n"/>
      <c r="B93" s="5" t="n"/>
      <c r="C93" s="6">
        <f>IF($A93="","",COUNTIF('مقدّمو الطلبات'!$A$5:$A$204,$A93))</f>
        <v/>
      </c>
      <c r="D93" s="7" t="n"/>
      <c r="E93" s="5" t="n"/>
      <c r="F93" s="8">
        <f>IF($A93="","",SUMIFS('مقدّمو الطلبات'!$F$5:$F$204,'مقدّمو الطلبات'!$A$5:$A$204,$A93,'مقدّمو الطلبات'!$G$5:$G$204,"نعم"))</f>
        <v/>
      </c>
      <c r="G93" s="9" t="n"/>
      <c r="H93" s="9" t="n"/>
      <c r="I93" s="10">
        <f>IF(OR($A93="",$D93="",$E93="",$G93="",$H93=""),"",MIN($C93,'القوائم'!$N$5)+IFERROR(VLOOKUP($D93,'القوائم'!$A$5:$B$8,2,FALSE),0)+IFERROR(VLOOKUP($E93,'القوائم'!$C$5:$D$7,2,FALSE),0)+IF($F93&gt;='القوائم'!$N$6,2,IF($F93&gt;0,1,0))+IFERROR(VLOOKUP($G93,'القوائم'!$E$5:$F$7,2,FALSE),0)+IFERROR(VLOOKUP($H93,'القوائم'!$G$5:$H$7,2,FALSE),0))</f>
        <v/>
      </c>
      <c r="J93" s="7" t="n"/>
      <c r="K93" s="5" t="n"/>
      <c r="L93" s="5" t="n"/>
      <c r="M93" s="5" t="n"/>
      <c r="N93" s="11">
        <f>IF($A93="","",IF(COUNTIFS('مقدّمو الطلبات'!$A$5:$A$204,$A93,'مقدّمو الطلبات'!$J$5:$J$204,"&lt;&gt;")=0,"",SUMPRODUCT(MAX(('مقدّمو الطلبات'!$A$5:$A$204=$A93)*'مقدّمو الطلبات'!$J$5:$J$204))))</f>
        <v/>
      </c>
      <c r="O93" s="6">
        <f>IF($A93="","",COUNTIFS('مقدّمو الطلبات'!$A$5:$A$204,$A93,'مقدّمو الطلبات'!$K$5:$K$204,"لا"))</f>
        <v/>
      </c>
      <c r="P93" s="12">
        <f>IF($A93="","",IF($C93=0,"بلا مقدّمي طلب",IF($J93="","بلا قرار",IF($O93&gt;0,"ردود مستحقة",IF(OR($J93="غير مخطط لها",$J93="أُطلقت"),"مغلق","مفتوح")))))</f>
        <v/>
      </c>
      <c r="Q93" s="5" t="n"/>
      <c r="R93">
        <f>IF(ISNUMBER($I93),$I93+(1000-ROW())/100000,"")</f>
        <v/>
      </c>
    </row>
    <row r="94">
      <c r="A94" s="4" t="n"/>
      <c r="B94" s="5" t="n"/>
      <c r="C94" s="6">
        <f>IF($A94="","",COUNTIF('مقدّمو الطلبات'!$A$5:$A$204,$A94))</f>
        <v/>
      </c>
      <c r="D94" s="7" t="n"/>
      <c r="E94" s="5" t="n"/>
      <c r="F94" s="8">
        <f>IF($A94="","",SUMIFS('مقدّمو الطلبات'!$F$5:$F$204,'مقدّمو الطلبات'!$A$5:$A$204,$A94,'مقدّمو الطلبات'!$G$5:$G$204,"نعم"))</f>
        <v/>
      </c>
      <c r="G94" s="9" t="n"/>
      <c r="H94" s="9" t="n"/>
      <c r="I94" s="10">
        <f>IF(OR($A94="",$D94="",$E94="",$G94="",$H94=""),"",MIN($C94,'القوائم'!$N$5)+IFERROR(VLOOKUP($D94,'القوائم'!$A$5:$B$8,2,FALSE),0)+IFERROR(VLOOKUP($E94,'القوائم'!$C$5:$D$7,2,FALSE),0)+IF($F94&gt;='القوائم'!$N$6,2,IF($F94&gt;0,1,0))+IFERROR(VLOOKUP($G94,'القوائم'!$E$5:$F$7,2,FALSE),0)+IFERROR(VLOOKUP($H94,'القوائم'!$G$5:$H$7,2,FALSE),0))</f>
        <v/>
      </c>
      <c r="J94" s="7" t="n"/>
      <c r="K94" s="5" t="n"/>
      <c r="L94" s="5" t="n"/>
      <c r="M94" s="5" t="n"/>
      <c r="N94" s="11">
        <f>IF($A94="","",IF(COUNTIFS('مقدّمو الطلبات'!$A$5:$A$204,$A94,'مقدّمو الطلبات'!$J$5:$J$204,"&lt;&gt;")=0,"",SUMPRODUCT(MAX(('مقدّمو الطلبات'!$A$5:$A$204=$A94)*'مقدّمو الطلبات'!$J$5:$J$204))))</f>
        <v/>
      </c>
      <c r="O94" s="6">
        <f>IF($A94="","",COUNTIFS('مقدّمو الطلبات'!$A$5:$A$204,$A94,'مقدّمو الطلبات'!$K$5:$K$204,"لا"))</f>
        <v/>
      </c>
      <c r="P94" s="12">
        <f>IF($A94="","",IF($C94=0,"بلا مقدّمي طلب",IF($J94="","بلا قرار",IF($O94&gt;0,"ردود مستحقة",IF(OR($J94="غير مخطط لها",$J94="أُطلقت"),"مغلق","مفتوح")))))</f>
        <v/>
      </c>
      <c r="Q94" s="5" t="n"/>
      <c r="R94">
        <f>IF(ISNUMBER($I94),$I94+(1000-ROW())/100000,"")</f>
        <v/>
      </c>
    </row>
    <row r="95">
      <c r="A95" s="4" t="n"/>
      <c r="B95" s="5" t="n"/>
      <c r="C95" s="6">
        <f>IF($A95="","",COUNTIF('مقدّمو الطلبات'!$A$5:$A$204,$A95))</f>
        <v/>
      </c>
      <c r="D95" s="7" t="n"/>
      <c r="E95" s="5" t="n"/>
      <c r="F95" s="8">
        <f>IF($A95="","",SUMIFS('مقدّمو الطلبات'!$F$5:$F$204,'مقدّمو الطلبات'!$A$5:$A$204,$A95,'مقدّمو الطلبات'!$G$5:$G$204,"نعم"))</f>
        <v/>
      </c>
      <c r="G95" s="9" t="n"/>
      <c r="H95" s="9" t="n"/>
      <c r="I95" s="10">
        <f>IF(OR($A95="",$D95="",$E95="",$G95="",$H95=""),"",MIN($C95,'القوائم'!$N$5)+IFERROR(VLOOKUP($D95,'القوائم'!$A$5:$B$8,2,FALSE),0)+IFERROR(VLOOKUP($E95,'القوائم'!$C$5:$D$7,2,FALSE),0)+IF($F95&gt;='القوائم'!$N$6,2,IF($F95&gt;0,1,0))+IFERROR(VLOOKUP($G95,'القوائم'!$E$5:$F$7,2,FALSE),0)+IFERROR(VLOOKUP($H95,'القوائم'!$G$5:$H$7,2,FALSE),0))</f>
        <v/>
      </c>
      <c r="J95" s="7" t="n"/>
      <c r="K95" s="5" t="n"/>
      <c r="L95" s="5" t="n"/>
      <c r="M95" s="5" t="n"/>
      <c r="N95" s="11">
        <f>IF($A95="","",IF(COUNTIFS('مقدّمو الطلبات'!$A$5:$A$204,$A95,'مقدّمو الطلبات'!$J$5:$J$204,"&lt;&gt;")=0,"",SUMPRODUCT(MAX(('مقدّمو الطلبات'!$A$5:$A$204=$A95)*'مقدّمو الطلبات'!$J$5:$J$204))))</f>
        <v/>
      </c>
      <c r="O95" s="6">
        <f>IF($A95="","",COUNTIFS('مقدّمو الطلبات'!$A$5:$A$204,$A95,'مقدّمو الطلبات'!$K$5:$K$204,"لا"))</f>
        <v/>
      </c>
      <c r="P95" s="12">
        <f>IF($A95="","",IF($C95=0,"بلا مقدّمي طلب",IF($J95="","بلا قرار",IF($O95&gt;0,"ردود مستحقة",IF(OR($J95="غير مخطط لها",$J95="أُطلقت"),"مغلق","مفتوح")))))</f>
        <v/>
      </c>
      <c r="Q95" s="5" t="n"/>
      <c r="R95">
        <f>IF(ISNUMBER($I95),$I95+(1000-ROW())/100000,"")</f>
        <v/>
      </c>
    </row>
    <row r="96">
      <c r="A96" s="4" t="n"/>
      <c r="B96" s="5" t="n"/>
      <c r="C96" s="6">
        <f>IF($A96="","",COUNTIF('مقدّمو الطلبات'!$A$5:$A$204,$A96))</f>
        <v/>
      </c>
      <c r="D96" s="7" t="n"/>
      <c r="E96" s="5" t="n"/>
      <c r="F96" s="8">
        <f>IF($A96="","",SUMIFS('مقدّمو الطلبات'!$F$5:$F$204,'مقدّمو الطلبات'!$A$5:$A$204,$A96,'مقدّمو الطلبات'!$G$5:$G$204,"نعم"))</f>
        <v/>
      </c>
      <c r="G96" s="9" t="n"/>
      <c r="H96" s="9" t="n"/>
      <c r="I96" s="10">
        <f>IF(OR($A96="",$D96="",$E96="",$G96="",$H96=""),"",MIN($C96,'القوائم'!$N$5)+IFERROR(VLOOKUP($D96,'القوائم'!$A$5:$B$8,2,FALSE),0)+IFERROR(VLOOKUP($E96,'القوائم'!$C$5:$D$7,2,FALSE),0)+IF($F96&gt;='القوائم'!$N$6,2,IF($F96&gt;0,1,0))+IFERROR(VLOOKUP($G96,'القوائم'!$E$5:$F$7,2,FALSE),0)+IFERROR(VLOOKUP($H96,'القوائم'!$G$5:$H$7,2,FALSE),0))</f>
        <v/>
      </c>
      <c r="J96" s="7" t="n"/>
      <c r="K96" s="5" t="n"/>
      <c r="L96" s="5" t="n"/>
      <c r="M96" s="5" t="n"/>
      <c r="N96" s="11">
        <f>IF($A96="","",IF(COUNTIFS('مقدّمو الطلبات'!$A$5:$A$204,$A96,'مقدّمو الطلبات'!$J$5:$J$204,"&lt;&gt;")=0,"",SUMPRODUCT(MAX(('مقدّمو الطلبات'!$A$5:$A$204=$A96)*'مقدّمو الطلبات'!$J$5:$J$204))))</f>
        <v/>
      </c>
      <c r="O96" s="6">
        <f>IF($A96="","",COUNTIFS('مقدّمو الطلبات'!$A$5:$A$204,$A96,'مقدّمو الطلبات'!$K$5:$K$204,"لا"))</f>
        <v/>
      </c>
      <c r="P96" s="12">
        <f>IF($A96="","",IF($C96=0,"بلا مقدّمي طلب",IF($J96="","بلا قرار",IF($O96&gt;0,"ردود مستحقة",IF(OR($J96="غير مخطط لها",$J96="أُطلقت"),"مغلق","مفتوح")))))</f>
        <v/>
      </c>
      <c r="Q96" s="5" t="n"/>
      <c r="R96">
        <f>IF(ISNUMBER($I96),$I96+(1000-ROW())/100000,"")</f>
        <v/>
      </c>
    </row>
    <row r="97">
      <c r="A97" s="4" t="n"/>
      <c r="B97" s="5" t="n"/>
      <c r="C97" s="6">
        <f>IF($A97="","",COUNTIF('مقدّمو الطلبات'!$A$5:$A$204,$A97))</f>
        <v/>
      </c>
      <c r="D97" s="7" t="n"/>
      <c r="E97" s="5" t="n"/>
      <c r="F97" s="8">
        <f>IF($A97="","",SUMIFS('مقدّمو الطلبات'!$F$5:$F$204,'مقدّمو الطلبات'!$A$5:$A$204,$A97,'مقدّمو الطلبات'!$G$5:$G$204,"نعم"))</f>
        <v/>
      </c>
      <c r="G97" s="9" t="n"/>
      <c r="H97" s="9" t="n"/>
      <c r="I97" s="10">
        <f>IF(OR($A97="",$D97="",$E97="",$G97="",$H97=""),"",MIN($C97,'القوائم'!$N$5)+IFERROR(VLOOKUP($D97,'القوائم'!$A$5:$B$8,2,FALSE),0)+IFERROR(VLOOKUP($E97,'القوائم'!$C$5:$D$7,2,FALSE),0)+IF($F97&gt;='القوائم'!$N$6,2,IF($F97&gt;0,1,0))+IFERROR(VLOOKUP($G97,'القوائم'!$E$5:$F$7,2,FALSE),0)+IFERROR(VLOOKUP($H97,'القوائم'!$G$5:$H$7,2,FALSE),0))</f>
        <v/>
      </c>
      <c r="J97" s="7" t="n"/>
      <c r="K97" s="5" t="n"/>
      <c r="L97" s="5" t="n"/>
      <c r="M97" s="5" t="n"/>
      <c r="N97" s="11">
        <f>IF($A97="","",IF(COUNTIFS('مقدّمو الطلبات'!$A$5:$A$204,$A97,'مقدّمو الطلبات'!$J$5:$J$204,"&lt;&gt;")=0,"",SUMPRODUCT(MAX(('مقدّمو الطلبات'!$A$5:$A$204=$A97)*'مقدّمو الطلبات'!$J$5:$J$204))))</f>
        <v/>
      </c>
      <c r="O97" s="6">
        <f>IF($A97="","",COUNTIFS('مقدّمو الطلبات'!$A$5:$A$204,$A97,'مقدّمو الطلبات'!$K$5:$K$204,"لا"))</f>
        <v/>
      </c>
      <c r="P97" s="12">
        <f>IF($A97="","",IF($C97=0,"بلا مقدّمي طلب",IF($J97="","بلا قرار",IF($O97&gt;0,"ردود مستحقة",IF(OR($J97="غير مخطط لها",$J97="أُطلقت"),"مغلق","مفتوح")))))</f>
        <v/>
      </c>
      <c r="Q97" s="5" t="n"/>
      <c r="R97">
        <f>IF(ISNUMBER($I97),$I97+(1000-ROW())/100000,"")</f>
        <v/>
      </c>
    </row>
    <row r="98">
      <c r="A98" s="4" t="n"/>
      <c r="B98" s="5" t="n"/>
      <c r="C98" s="6">
        <f>IF($A98="","",COUNTIF('مقدّمو الطلبات'!$A$5:$A$204,$A98))</f>
        <v/>
      </c>
      <c r="D98" s="7" t="n"/>
      <c r="E98" s="5" t="n"/>
      <c r="F98" s="8">
        <f>IF($A98="","",SUMIFS('مقدّمو الطلبات'!$F$5:$F$204,'مقدّمو الطلبات'!$A$5:$A$204,$A98,'مقدّمو الطلبات'!$G$5:$G$204,"نعم"))</f>
        <v/>
      </c>
      <c r="G98" s="9" t="n"/>
      <c r="H98" s="9" t="n"/>
      <c r="I98" s="10">
        <f>IF(OR($A98="",$D98="",$E98="",$G98="",$H98=""),"",MIN($C98,'القوائم'!$N$5)+IFERROR(VLOOKUP($D98,'القوائم'!$A$5:$B$8,2,FALSE),0)+IFERROR(VLOOKUP($E98,'القوائم'!$C$5:$D$7,2,FALSE),0)+IF($F98&gt;='القوائم'!$N$6,2,IF($F98&gt;0,1,0))+IFERROR(VLOOKUP($G98,'القوائم'!$E$5:$F$7,2,FALSE),0)+IFERROR(VLOOKUP($H98,'القوائم'!$G$5:$H$7,2,FALSE),0))</f>
        <v/>
      </c>
      <c r="J98" s="7" t="n"/>
      <c r="K98" s="5" t="n"/>
      <c r="L98" s="5" t="n"/>
      <c r="M98" s="5" t="n"/>
      <c r="N98" s="11">
        <f>IF($A98="","",IF(COUNTIFS('مقدّمو الطلبات'!$A$5:$A$204,$A98,'مقدّمو الطلبات'!$J$5:$J$204,"&lt;&gt;")=0,"",SUMPRODUCT(MAX(('مقدّمو الطلبات'!$A$5:$A$204=$A98)*'مقدّمو الطلبات'!$J$5:$J$204))))</f>
        <v/>
      </c>
      <c r="O98" s="6">
        <f>IF($A98="","",COUNTIFS('مقدّمو الطلبات'!$A$5:$A$204,$A98,'مقدّمو الطلبات'!$K$5:$K$204,"لا"))</f>
        <v/>
      </c>
      <c r="P98" s="12">
        <f>IF($A98="","",IF($C98=0,"بلا مقدّمي طلب",IF($J98="","بلا قرار",IF($O98&gt;0,"ردود مستحقة",IF(OR($J98="غير مخطط لها",$J98="أُطلقت"),"مغلق","مفتوح")))))</f>
        <v/>
      </c>
      <c r="Q98" s="5" t="n"/>
      <c r="R98">
        <f>IF(ISNUMBER($I98),$I98+(1000-ROW())/100000,"")</f>
        <v/>
      </c>
    </row>
    <row r="99">
      <c r="A99" s="4" t="n"/>
      <c r="B99" s="5" t="n"/>
      <c r="C99" s="6">
        <f>IF($A99="","",COUNTIF('مقدّمو الطلبات'!$A$5:$A$204,$A99))</f>
        <v/>
      </c>
      <c r="D99" s="7" t="n"/>
      <c r="E99" s="5" t="n"/>
      <c r="F99" s="8">
        <f>IF($A99="","",SUMIFS('مقدّمو الطلبات'!$F$5:$F$204,'مقدّمو الطلبات'!$A$5:$A$204,$A99,'مقدّمو الطلبات'!$G$5:$G$204,"نعم"))</f>
        <v/>
      </c>
      <c r="G99" s="9" t="n"/>
      <c r="H99" s="9" t="n"/>
      <c r="I99" s="10">
        <f>IF(OR($A99="",$D99="",$E99="",$G99="",$H99=""),"",MIN($C99,'القوائم'!$N$5)+IFERROR(VLOOKUP($D99,'القوائم'!$A$5:$B$8,2,FALSE),0)+IFERROR(VLOOKUP($E99,'القوائم'!$C$5:$D$7,2,FALSE),0)+IF($F99&gt;='القوائم'!$N$6,2,IF($F99&gt;0,1,0))+IFERROR(VLOOKUP($G99,'القوائم'!$E$5:$F$7,2,FALSE),0)+IFERROR(VLOOKUP($H99,'القوائم'!$G$5:$H$7,2,FALSE),0))</f>
        <v/>
      </c>
      <c r="J99" s="7" t="n"/>
      <c r="K99" s="5" t="n"/>
      <c r="L99" s="5" t="n"/>
      <c r="M99" s="5" t="n"/>
      <c r="N99" s="11">
        <f>IF($A99="","",IF(COUNTIFS('مقدّمو الطلبات'!$A$5:$A$204,$A99,'مقدّمو الطلبات'!$J$5:$J$204,"&lt;&gt;")=0,"",SUMPRODUCT(MAX(('مقدّمو الطلبات'!$A$5:$A$204=$A99)*'مقدّمو الطلبات'!$J$5:$J$204))))</f>
        <v/>
      </c>
      <c r="O99" s="6">
        <f>IF($A99="","",COUNTIFS('مقدّمو الطلبات'!$A$5:$A$204,$A99,'مقدّمو الطلبات'!$K$5:$K$204,"لا"))</f>
        <v/>
      </c>
      <c r="P99" s="12">
        <f>IF($A99="","",IF($C99=0,"بلا مقدّمي طلب",IF($J99="","بلا قرار",IF($O99&gt;0,"ردود مستحقة",IF(OR($J99="غير مخطط لها",$J99="أُطلقت"),"مغلق","مفتوح")))))</f>
        <v/>
      </c>
      <c r="Q99" s="5" t="n"/>
      <c r="R99">
        <f>IF(ISNUMBER($I99),$I99+(1000-ROW())/100000,"")</f>
        <v/>
      </c>
    </row>
    <row r="100">
      <c r="A100" s="4" t="n"/>
      <c r="B100" s="5" t="n"/>
      <c r="C100" s="6">
        <f>IF($A100="","",COUNTIF('مقدّمو الطلبات'!$A$5:$A$204,$A100))</f>
        <v/>
      </c>
      <c r="D100" s="7" t="n"/>
      <c r="E100" s="5" t="n"/>
      <c r="F100" s="8">
        <f>IF($A100="","",SUMIFS('مقدّمو الطلبات'!$F$5:$F$204,'مقدّمو الطلبات'!$A$5:$A$204,$A100,'مقدّمو الطلبات'!$G$5:$G$204,"نعم"))</f>
        <v/>
      </c>
      <c r="G100" s="9" t="n"/>
      <c r="H100" s="9" t="n"/>
      <c r="I100" s="10">
        <f>IF(OR($A100="",$D100="",$E100="",$G100="",$H100=""),"",MIN($C100,'القوائم'!$N$5)+IFERROR(VLOOKUP($D100,'القوائم'!$A$5:$B$8,2,FALSE),0)+IFERROR(VLOOKUP($E100,'القوائم'!$C$5:$D$7,2,FALSE),0)+IF($F100&gt;='القوائم'!$N$6,2,IF($F100&gt;0,1,0))+IFERROR(VLOOKUP($G100,'القوائم'!$E$5:$F$7,2,FALSE),0)+IFERROR(VLOOKUP($H100,'القوائم'!$G$5:$H$7,2,FALSE),0))</f>
        <v/>
      </c>
      <c r="J100" s="7" t="n"/>
      <c r="K100" s="5" t="n"/>
      <c r="L100" s="5" t="n"/>
      <c r="M100" s="5" t="n"/>
      <c r="N100" s="11">
        <f>IF($A100="","",IF(COUNTIFS('مقدّمو الطلبات'!$A$5:$A$204,$A100,'مقدّمو الطلبات'!$J$5:$J$204,"&lt;&gt;")=0,"",SUMPRODUCT(MAX(('مقدّمو الطلبات'!$A$5:$A$204=$A100)*'مقدّمو الطلبات'!$J$5:$J$204))))</f>
        <v/>
      </c>
      <c r="O100" s="6">
        <f>IF($A100="","",COUNTIFS('مقدّمو الطلبات'!$A$5:$A$204,$A100,'مقدّمو الطلبات'!$K$5:$K$204,"لا"))</f>
        <v/>
      </c>
      <c r="P100" s="12">
        <f>IF($A100="","",IF($C100=0,"بلا مقدّمي طلب",IF($J100="","بلا قرار",IF($O100&gt;0,"ردود مستحقة",IF(OR($J100="غير مخطط لها",$J100="أُطلقت"),"مغلق","مفتوح")))))</f>
        <v/>
      </c>
      <c r="Q100" s="5" t="n"/>
      <c r="R100">
        <f>IF(ISNUMBER($I100),$I100+(1000-ROW())/100000,"")</f>
        <v/>
      </c>
    </row>
    <row r="101">
      <c r="A101" s="4" t="n"/>
      <c r="B101" s="5" t="n"/>
      <c r="C101" s="6">
        <f>IF($A101="","",COUNTIF('مقدّمو الطلبات'!$A$5:$A$204,$A101))</f>
        <v/>
      </c>
      <c r="D101" s="7" t="n"/>
      <c r="E101" s="5" t="n"/>
      <c r="F101" s="8">
        <f>IF($A101="","",SUMIFS('مقدّمو الطلبات'!$F$5:$F$204,'مقدّمو الطلبات'!$A$5:$A$204,$A101,'مقدّمو الطلبات'!$G$5:$G$204,"نعم"))</f>
        <v/>
      </c>
      <c r="G101" s="9" t="n"/>
      <c r="H101" s="9" t="n"/>
      <c r="I101" s="10">
        <f>IF(OR($A101="",$D101="",$E101="",$G101="",$H101=""),"",MIN($C101,'القوائم'!$N$5)+IFERROR(VLOOKUP($D101,'القوائم'!$A$5:$B$8,2,FALSE),0)+IFERROR(VLOOKUP($E101,'القوائم'!$C$5:$D$7,2,FALSE),0)+IF($F101&gt;='القوائم'!$N$6,2,IF($F101&gt;0,1,0))+IFERROR(VLOOKUP($G101,'القوائم'!$E$5:$F$7,2,FALSE),0)+IFERROR(VLOOKUP($H101,'القوائم'!$G$5:$H$7,2,FALSE),0))</f>
        <v/>
      </c>
      <c r="J101" s="7" t="n"/>
      <c r="K101" s="5" t="n"/>
      <c r="L101" s="5" t="n"/>
      <c r="M101" s="5" t="n"/>
      <c r="N101" s="11">
        <f>IF($A101="","",IF(COUNTIFS('مقدّمو الطلبات'!$A$5:$A$204,$A101,'مقدّمو الطلبات'!$J$5:$J$204,"&lt;&gt;")=0,"",SUMPRODUCT(MAX(('مقدّمو الطلبات'!$A$5:$A$204=$A101)*'مقدّمو الطلبات'!$J$5:$J$204))))</f>
        <v/>
      </c>
      <c r="O101" s="6">
        <f>IF($A101="","",COUNTIFS('مقدّمو الطلبات'!$A$5:$A$204,$A101,'مقدّمو الطلبات'!$K$5:$K$204,"لا"))</f>
        <v/>
      </c>
      <c r="P101" s="12">
        <f>IF($A101="","",IF($C101=0,"بلا مقدّمي طلب",IF($J101="","بلا قرار",IF($O101&gt;0,"ردود مستحقة",IF(OR($J101="غير مخطط لها",$J101="أُطلقت"),"مغلق","مفتوح")))))</f>
        <v/>
      </c>
      <c r="Q101" s="5" t="n"/>
      <c r="R101">
        <f>IF(ISNUMBER($I101),$I101+(1000-ROW())/100000,"")</f>
        <v/>
      </c>
    </row>
    <row r="102">
      <c r="A102" s="4" t="n"/>
      <c r="B102" s="5" t="n"/>
      <c r="C102" s="6">
        <f>IF($A102="","",COUNTIF('مقدّمو الطلبات'!$A$5:$A$204,$A102))</f>
        <v/>
      </c>
      <c r="D102" s="7" t="n"/>
      <c r="E102" s="5" t="n"/>
      <c r="F102" s="8">
        <f>IF($A102="","",SUMIFS('مقدّمو الطلبات'!$F$5:$F$204,'مقدّمو الطلبات'!$A$5:$A$204,$A102,'مقدّمو الطلبات'!$G$5:$G$204,"نعم"))</f>
        <v/>
      </c>
      <c r="G102" s="9" t="n"/>
      <c r="H102" s="9" t="n"/>
      <c r="I102" s="10">
        <f>IF(OR($A102="",$D102="",$E102="",$G102="",$H102=""),"",MIN($C102,'القوائم'!$N$5)+IFERROR(VLOOKUP($D102,'القوائم'!$A$5:$B$8,2,FALSE),0)+IFERROR(VLOOKUP($E102,'القوائم'!$C$5:$D$7,2,FALSE),0)+IF($F102&gt;='القوائم'!$N$6,2,IF($F102&gt;0,1,0))+IFERROR(VLOOKUP($G102,'القوائم'!$E$5:$F$7,2,FALSE),0)+IFERROR(VLOOKUP($H102,'القوائم'!$G$5:$H$7,2,FALSE),0))</f>
        <v/>
      </c>
      <c r="J102" s="7" t="n"/>
      <c r="K102" s="5" t="n"/>
      <c r="L102" s="5" t="n"/>
      <c r="M102" s="5" t="n"/>
      <c r="N102" s="11">
        <f>IF($A102="","",IF(COUNTIFS('مقدّمو الطلبات'!$A$5:$A$204,$A102,'مقدّمو الطلبات'!$J$5:$J$204,"&lt;&gt;")=0,"",SUMPRODUCT(MAX(('مقدّمو الطلبات'!$A$5:$A$204=$A102)*'مقدّمو الطلبات'!$J$5:$J$204))))</f>
        <v/>
      </c>
      <c r="O102" s="6">
        <f>IF($A102="","",COUNTIFS('مقدّمو الطلبات'!$A$5:$A$204,$A102,'مقدّمو الطلبات'!$K$5:$K$204,"لا"))</f>
        <v/>
      </c>
      <c r="P102" s="12">
        <f>IF($A102="","",IF($C102=0,"بلا مقدّمي طلب",IF($J102="","بلا قرار",IF($O102&gt;0,"ردود مستحقة",IF(OR($J102="غير مخطط لها",$J102="أُطلقت"),"مغلق","مفتوح")))))</f>
        <v/>
      </c>
      <c r="Q102" s="5" t="n"/>
      <c r="R102">
        <f>IF(ISNUMBER($I102),$I102+(1000-ROW())/100000,"")</f>
        <v/>
      </c>
    </row>
    <row r="103">
      <c r="A103" s="4" t="n"/>
      <c r="B103" s="5" t="n"/>
      <c r="C103" s="6">
        <f>IF($A103="","",COUNTIF('مقدّمو الطلبات'!$A$5:$A$204,$A103))</f>
        <v/>
      </c>
      <c r="D103" s="7" t="n"/>
      <c r="E103" s="5" t="n"/>
      <c r="F103" s="8">
        <f>IF($A103="","",SUMIFS('مقدّمو الطلبات'!$F$5:$F$204,'مقدّمو الطلبات'!$A$5:$A$204,$A103,'مقدّمو الطلبات'!$G$5:$G$204,"نعم"))</f>
        <v/>
      </c>
      <c r="G103" s="9" t="n"/>
      <c r="H103" s="9" t="n"/>
      <c r="I103" s="10">
        <f>IF(OR($A103="",$D103="",$E103="",$G103="",$H103=""),"",MIN($C103,'القوائم'!$N$5)+IFERROR(VLOOKUP($D103,'القوائم'!$A$5:$B$8,2,FALSE),0)+IFERROR(VLOOKUP($E103,'القوائم'!$C$5:$D$7,2,FALSE),0)+IF($F103&gt;='القوائم'!$N$6,2,IF($F103&gt;0,1,0))+IFERROR(VLOOKUP($G103,'القوائم'!$E$5:$F$7,2,FALSE),0)+IFERROR(VLOOKUP($H103,'القوائم'!$G$5:$H$7,2,FALSE),0))</f>
        <v/>
      </c>
      <c r="J103" s="7" t="n"/>
      <c r="K103" s="5" t="n"/>
      <c r="L103" s="5" t="n"/>
      <c r="M103" s="5" t="n"/>
      <c r="N103" s="11">
        <f>IF($A103="","",IF(COUNTIFS('مقدّمو الطلبات'!$A$5:$A$204,$A103,'مقدّمو الطلبات'!$J$5:$J$204,"&lt;&gt;")=0,"",SUMPRODUCT(MAX(('مقدّمو الطلبات'!$A$5:$A$204=$A103)*'مقدّمو الطلبات'!$J$5:$J$204))))</f>
        <v/>
      </c>
      <c r="O103" s="6">
        <f>IF($A103="","",COUNTIFS('مقدّمو الطلبات'!$A$5:$A$204,$A103,'مقدّمو الطلبات'!$K$5:$K$204,"لا"))</f>
        <v/>
      </c>
      <c r="P103" s="12">
        <f>IF($A103="","",IF($C103=0,"بلا مقدّمي طلب",IF($J103="","بلا قرار",IF($O103&gt;0,"ردود مستحقة",IF(OR($J103="غير مخطط لها",$J103="أُطلقت"),"مغلق","مفتوح")))))</f>
        <v/>
      </c>
      <c r="Q103" s="5" t="n"/>
      <c r="R103">
        <f>IF(ISNUMBER($I103),$I103+(1000-ROW())/100000,"")</f>
        <v/>
      </c>
    </row>
    <row r="104">
      <c r="A104" s="4" t="n"/>
      <c r="B104" s="5" t="n"/>
      <c r="C104" s="6">
        <f>IF($A104="","",COUNTIF('مقدّمو الطلبات'!$A$5:$A$204,$A104))</f>
        <v/>
      </c>
      <c r="D104" s="7" t="n"/>
      <c r="E104" s="5" t="n"/>
      <c r="F104" s="8">
        <f>IF($A104="","",SUMIFS('مقدّمو الطلبات'!$F$5:$F$204,'مقدّمو الطلبات'!$A$5:$A$204,$A104,'مقدّمو الطلبات'!$G$5:$G$204,"نعم"))</f>
        <v/>
      </c>
      <c r="G104" s="9" t="n"/>
      <c r="H104" s="9" t="n"/>
      <c r="I104" s="10">
        <f>IF(OR($A104="",$D104="",$E104="",$G104="",$H104=""),"",MIN($C104,'القوائم'!$N$5)+IFERROR(VLOOKUP($D104,'القوائم'!$A$5:$B$8,2,FALSE),0)+IFERROR(VLOOKUP($E104,'القوائم'!$C$5:$D$7,2,FALSE),0)+IF($F104&gt;='القوائم'!$N$6,2,IF($F104&gt;0,1,0))+IFERROR(VLOOKUP($G104,'القوائم'!$E$5:$F$7,2,FALSE),0)+IFERROR(VLOOKUP($H104,'القوائم'!$G$5:$H$7,2,FALSE),0))</f>
        <v/>
      </c>
      <c r="J104" s="7" t="n"/>
      <c r="K104" s="5" t="n"/>
      <c r="L104" s="5" t="n"/>
      <c r="M104" s="5" t="n"/>
      <c r="N104" s="11">
        <f>IF($A104="","",IF(COUNTIFS('مقدّمو الطلبات'!$A$5:$A$204,$A104,'مقدّمو الطلبات'!$J$5:$J$204,"&lt;&gt;")=0,"",SUMPRODUCT(MAX(('مقدّمو الطلبات'!$A$5:$A$204=$A104)*'مقدّمو الطلبات'!$J$5:$J$204))))</f>
        <v/>
      </c>
      <c r="O104" s="6">
        <f>IF($A104="","",COUNTIFS('مقدّمو الطلبات'!$A$5:$A$204,$A104,'مقدّمو الطلبات'!$K$5:$K$204,"لا"))</f>
        <v/>
      </c>
      <c r="P104" s="12">
        <f>IF($A104="","",IF($C104=0,"بلا مقدّمي طلب",IF($J104="","بلا قرار",IF($O104&gt;0,"ردود مستحقة",IF(OR($J104="غير مخطط لها",$J104="أُطلقت"),"مغلق","مفتوح")))))</f>
        <v/>
      </c>
      <c r="Q104" s="5" t="n"/>
      <c r="R104">
        <f>IF(ISNUMBER($I104),$I104+(1000-ROW())/100000,"")</f>
        <v/>
      </c>
    </row>
    <row r="105">
      <c r="A105" s="4" t="n"/>
      <c r="B105" s="5" t="n"/>
      <c r="C105" s="6">
        <f>IF($A105="","",COUNTIF('مقدّمو الطلبات'!$A$5:$A$204,$A105))</f>
        <v/>
      </c>
      <c r="D105" s="7" t="n"/>
      <c r="E105" s="5" t="n"/>
      <c r="F105" s="8">
        <f>IF($A105="","",SUMIFS('مقدّمو الطلبات'!$F$5:$F$204,'مقدّمو الطلبات'!$A$5:$A$204,$A105,'مقدّمو الطلبات'!$G$5:$G$204,"نعم"))</f>
        <v/>
      </c>
      <c r="G105" s="9" t="n"/>
      <c r="H105" s="9" t="n"/>
      <c r="I105" s="10">
        <f>IF(OR($A105="",$D105="",$E105="",$G105="",$H105=""),"",MIN($C105,'القوائم'!$N$5)+IFERROR(VLOOKUP($D105,'القوائم'!$A$5:$B$8,2,FALSE),0)+IFERROR(VLOOKUP($E105,'القوائم'!$C$5:$D$7,2,FALSE),0)+IF($F105&gt;='القوائم'!$N$6,2,IF($F105&gt;0,1,0))+IFERROR(VLOOKUP($G105,'القوائم'!$E$5:$F$7,2,FALSE),0)+IFERROR(VLOOKUP($H105,'القوائم'!$G$5:$H$7,2,FALSE),0))</f>
        <v/>
      </c>
      <c r="J105" s="7" t="n"/>
      <c r="K105" s="5" t="n"/>
      <c r="L105" s="5" t="n"/>
      <c r="M105" s="5" t="n"/>
      <c r="N105" s="11">
        <f>IF($A105="","",IF(COUNTIFS('مقدّمو الطلبات'!$A$5:$A$204,$A105,'مقدّمو الطلبات'!$J$5:$J$204,"&lt;&gt;")=0,"",SUMPRODUCT(MAX(('مقدّمو الطلبات'!$A$5:$A$204=$A105)*'مقدّمو الطلبات'!$J$5:$J$204))))</f>
        <v/>
      </c>
      <c r="O105" s="6">
        <f>IF($A105="","",COUNTIFS('مقدّمو الطلبات'!$A$5:$A$204,$A105,'مقدّمو الطلبات'!$K$5:$K$204,"لا"))</f>
        <v/>
      </c>
      <c r="P105" s="12">
        <f>IF($A105="","",IF($C105=0,"بلا مقدّمي طلب",IF($J105="","بلا قرار",IF($O105&gt;0,"ردود مستحقة",IF(OR($J105="غير مخطط لها",$J105="أُطلقت"),"مغلق","مفتوح")))))</f>
        <v/>
      </c>
      <c r="Q105" s="5" t="n"/>
      <c r="R105">
        <f>IF(ISNUMBER($I105),$I105+(1000-ROW())/100000,"")</f>
        <v/>
      </c>
    </row>
    <row r="106">
      <c r="A106" s="4" t="n"/>
      <c r="B106" s="5" t="n"/>
      <c r="C106" s="6">
        <f>IF($A106="","",COUNTIF('مقدّمو الطلبات'!$A$5:$A$204,$A106))</f>
        <v/>
      </c>
      <c r="D106" s="7" t="n"/>
      <c r="E106" s="5" t="n"/>
      <c r="F106" s="8">
        <f>IF($A106="","",SUMIFS('مقدّمو الطلبات'!$F$5:$F$204,'مقدّمو الطلبات'!$A$5:$A$204,$A106,'مقدّمو الطلبات'!$G$5:$G$204,"نعم"))</f>
        <v/>
      </c>
      <c r="G106" s="9" t="n"/>
      <c r="H106" s="9" t="n"/>
      <c r="I106" s="10">
        <f>IF(OR($A106="",$D106="",$E106="",$G106="",$H106=""),"",MIN($C106,'القوائم'!$N$5)+IFERROR(VLOOKUP($D106,'القوائم'!$A$5:$B$8,2,FALSE),0)+IFERROR(VLOOKUP($E106,'القوائم'!$C$5:$D$7,2,FALSE),0)+IF($F106&gt;='القوائم'!$N$6,2,IF($F106&gt;0,1,0))+IFERROR(VLOOKUP($G106,'القوائم'!$E$5:$F$7,2,FALSE),0)+IFERROR(VLOOKUP($H106,'القوائم'!$G$5:$H$7,2,FALSE),0))</f>
        <v/>
      </c>
      <c r="J106" s="7" t="n"/>
      <c r="K106" s="5" t="n"/>
      <c r="L106" s="5" t="n"/>
      <c r="M106" s="5" t="n"/>
      <c r="N106" s="11">
        <f>IF($A106="","",IF(COUNTIFS('مقدّمو الطلبات'!$A$5:$A$204,$A106,'مقدّمو الطلبات'!$J$5:$J$204,"&lt;&gt;")=0,"",SUMPRODUCT(MAX(('مقدّمو الطلبات'!$A$5:$A$204=$A106)*'مقدّمو الطلبات'!$J$5:$J$204))))</f>
        <v/>
      </c>
      <c r="O106" s="6">
        <f>IF($A106="","",COUNTIFS('مقدّمو الطلبات'!$A$5:$A$204,$A106,'مقدّمو الطلبات'!$K$5:$K$204,"لا"))</f>
        <v/>
      </c>
      <c r="P106" s="12">
        <f>IF($A106="","",IF($C106=0,"بلا مقدّمي طلب",IF($J106="","بلا قرار",IF($O106&gt;0,"ردود مستحقة",IF(OR($J106="غير مخطط لها",$J106="أُطلقت"),"مغلق","مفتوح")))))</f>
        <v/>
      </c>
      <c r="Q106" s="5" t="n"/>
      <c r="R106">
        <f>IF(ISNUMBER($I106),$I106+(1000-ROW())/100000,"")</f>
        <v/>
      </c>
    </row>
    <row r="107">
      <c r="A107" s="4" t="n"/>
      <c r="B107" s="5" t="n"/>
      <c r="C107" s="6">
        <f>IF($A107="","",COUNTIF('مقدّمو الطلبات'!$A$5:$A$204,$A107))</f>
        <v/>
      </c>
      <c r="D107" s="7" t="n"/>
      <c r="E107" s="5" t="n"/>
      <c r="F107" s="8">
        <f>IF($A107="","",SUMIFS('مقدّمو الطلبات'!$F$5:$F$204,'مقدّمو الطلبات'!$A$5:$A$204,$A107,'مقدّمو الطلبات'!$G$5:$G$204,"نعم"))</f>
        <v/>
      </c>
      <c r="G107" s="9" t="n"/>
      <c r="H107" s="9" t="n"/>
      <c r="I107" s="10">
        <f>IF(OR($A107="",$D107="",$E107="",$G107="",$H107=""),"",MIN($C107,'القوائم'!$N$5)+IFERROR(VLOOKUP($D107,'القوائم'!$A$5:$B$8,2,FALSE),0)+IFERROR(VLOOKUP($E107,'القوائم'!$C$5:$D$7,2,FALSE),0)+IF($F107&gt;='القوائم'!$N$6,2,IF($F107&gt;0,1,0))+IFERROR(VLOOKUP($G107,'القوائم'!$E$5:$F$7,2,FALSE),0)+IFERROR(VLOOKUP($H107,'القوائم'!$G$5:$H$7,2,FALSE),0))</f>
        <v/>
      </c>
      <c r="J107" s="7" t="n"/>
      <c r="K107" s="5" t="n"/>
      <c r="L107" s="5" t="n"/>
      <c r="M107" s="5" t="n"/>
      <c r="N107" s="11">
        <f>IF($A107="","",IF(COUNTIFS('مقدّمو الطلبات'!$A$5:$A$204,$A107,'مقدّمو الطلبات'!$J$5:$J$204,"&lt;&gt;")=0,"",SUMPRODUCT(MAX(('مقدّمو الطلبات'!$A$5:$A$204=$A107)*'مقدّمو الطلبات'!$J$5:$J$204))))</f>
        <v/>
      </c>
      <c r="O107" s="6">
        <f>IF($A107="","",COUNTIFS('مقدّمو الطلبات'!$A$5:$A$204,$A107,'مقدّمو الطلبات'!$K$5:$K$204,"لا"))</f>
        <v/>
      </c>
      <c r="P107" s="12">
        <f>IF($A107="","",IF($C107=0,"بلا مقدّمي طلب",IF($J107="","بلا قرار",IF($O107&gt;0,"ردود مستحقة",IF(OR($J107="غير مخطط لها",$J107="أُطلقت"),"مغلق","مفتوح")))))</f>
        <v/>
      </c>
      <c r="Q107" s="5" t="n"/>
      <c r="R107">
        <f>IF(ISNUMBER($I107),$I107+(1000-ROW())/100000,"")</f>
        <v/>
      </c>
    </row>
    <row r="108">
      <c r="A108" s="4" t="n"/>
      <c r="B108" s="5" t="n"/>
      <c r="C108" s="6">
        <f>IF($A108="","",COUNTIF('مقدّمو الطلبات'!$A$5:$A$204,$A108))</f>
        <v/>
      </c>
      <c r="D108" s="7" t="n"/>
      <c r="E108" s="5" t="n"/>
      <c r="F108" s="8">
        <f>IF($A108="","",SUMIFS('مقدّمو الطلبات'!$F$5:$F$204,'مقدّمو الطلبات'!$A$5:$A$204,$A108,'مقدّمو الطلبات'!$G$5:$G$204,"نعم"))</f>
        <v/>
      </c>
      <c r="G108" s="9" t="n"/>
      <c r="H108" s="9" t="n"/>
      <c r="I108" s="10">
        <f>IF(OR($A108="",$D108="",$E108="",$G108="",$H108=""),"",MIN($C108,'القوائم'!$N$5)+IFERROR(VLOOKUP($D108,'القوائم'!$A$5:$B$8,2,FALSE),0)+IFERROR(VLOOKUP($E108,'القوائم'!$C$5:$D$7,2,FALSE),0)+IF($F108&gt;='القوائم'!$N$6,2,IF($F108&gt;0,1,0))+IFERROR(VLOOKUP($G108,'القوائم'!$E$5:$F$7,2,FALSE),0)+IFERROR(VLOOKUP($H108,'القوائم'!$G$5:$H$7,2,FALSE),0))</f>
        <v/>
      </c>
      <c r="J108" s="7" t="n"/>
      <c r="K108" s="5" t="n"/>
      <c r="L108" s="5" t="n"/>
      <c r="M108" s="5" t="n"/>
      <c r="N108" s="11">
        <f>IF($A108="","",IF(COUNTIFS('مقدّمو الطلبات'!$A$5:$A$204,$A108,'مقدّمو الطلبات'!$J$5:$J$204,"&lt;&gt;")=0,"",SUMPRODUCT(MAX(('مقدّمو الطلبات'!$A$5:$A$204=$A108)*'مقدّمو الطلبات'!$J$5:$J$204))))</f>
        <v/>
      </c>
      <c r="O108" s="6">
        <f>IF($A108="","",COUNTIFS('مقدّمو الطلبات'!$A$5:$A$204,$A108,'مقدّمو الطلبات'!$K$5:$K$204,"لا"))</f>
        <v/>
      </c>
      <c r="P108" s="12">
        <f>IF($A108="","",IF($C108=0,"بلا مقدّمي طلب",IF($J108="","بلا قرار",IF($O108&gt;0,"ردود مستحقة",IF(OR($J108="غير مخطط لها",$J108="أُطلقت"),"مغلق","مفتوح")))))</f>
        <v/>
      </c>
      <c r="Q108" s="5" t="n"/>
      <c r="R108">
        <f>IF(ISNUMBER($I108),$I108+(1000-ROW())/100000,"")</f>
        <v/>
      </c>
    </row>
    <row r="109">
      <c r="A109" s="4" t="n"/>
      <c r="B109" s="5" t="n"/>
      <c r="C109" s="6">
        <f>IF($A109="","",COUNTIF('مقدّمو الطلبات'!$A$5:$A$204,$A109))</f>
        <v/>
      </c>
      <c r="D109" s="7" t="n"/>
      <c r="E109" s="5" t="n"/>
      <c r="F109" s="8">
        <f>IF($A109="","",SUMIFS('مقدّمو الطلبات'!$F$5:$F$204,'مقدّمو الطلبات'!$A$5:$A$204,$A109,'مقدّمو الطلبات'!$G$5:$G$204,"نعم"))</f>
        <v/>
      </c>
      <c r="G109" s="9" t="n"/>
      <c r="H109" s="9" t="n"/>
      <c r="I109" s="10">
        <f>IF(OR($A109="",$D109="",$E109="",$G109="",$H109=""),"",MIN($C109,'القوائم'!$N$5)+IFERROR(VLOOKUP($D109,'القوائم'!$A$5:$B$8,2,FALSE),0)+IFERROR(VLOOKUP($E109,'القوائم'!$C$5:$D$7,2,FALSE),0)+IF($F109&gt;='القوائم'!$N$6,2,IF($F109&gt;0,1,0))+IFERROR(VLOOKUP($G109,'القوائم'!$E$5:$F$7,2,FALSE),0)+IFERROR(VLOOKUP($H109,'القوائم'!$G$5:$H$7,2,FALSE),0))</f>
        <v/>
      </c>
      <c r="J109" s="7" t="n"/>
      <c r="K109" s="5" t="n"/>
      <c r="L109" s="5" t="n"/>
      <c r="M109" s="5" t="n"/>
      <c r="N109" s="11">
        <f>IF($A109="","",IF(COUNTIFS('مقدّمو الطلبات'!$A$5:$A$204,$A109,'مقدّمو الطلبات'!$J$5:$J$204,"&lt;&gt;")=0,"",SUMPRODUCT(MAX(('مقدّمو الطلبات'!$A$5:$A$204=$A109)*'مقدّمو الطلبات'!$J$5:$J$204))))</f>
        <v/>
      </c>
      <c r="O109" s="6">
        <f>IF($A109="","",COUNTIFS('مقدّمو الطلبات'!$A$5:$A$204,$A109,'مقدّمو الطلبات'!$K$5:$K$204,"لا"))</f>
        <v/>
      </c>
      <c r="P109" s="12">
        <f>IF($A109="","",IF($C109=0,"بلا مقدّمي طلب",IF($J109="","بلا قرار",IF($O109&gt;0,"ردود مستحقة",IF(OR($J109="غير مخطط لها",$J109="أُطلقت"),"مغلق","مفتوح")))))</f>
        <v/>
      </c>
      <c r="Q109" s="5" t="n"/>
      <c r="R109">
        <f>IF(ISNUMBER($I109),$I109+(1000-ROW())/100000,"")</f>
        <v/>
      </c>
    </row>
    <row r="110">
      <c r="A110" s="4" t="n"/>
      <c r="B110" s="5" t="n"/>
      <c r="C110" s="6">
        <f>IF($A110="","",COUNTIF('مقدّمو الطلبات'!$A$5:$A$204,$A110))</f>
        <v/>
      </c>
      <c r="D110" s="7" t="n"/>
      <c r="E110" s="5" t="n"/>
      <c r="F110" s="8">
        <f>IF($A110="","",SUMIFS('مقدّمو الطلبات'!$F$5:$F$204,'مقدّمو الطلبات'!$A$5:$A$204,$A110,'مقدّمو الطلبات'!$G$5:$G$204,"نعم"))</f>
        <v/>
      </c>
      <c r="G110" s="9" t="n"/>
      <c r="H110" s="9" t="n"/>
      <c r="I110" s="10">
        <f>IF(OR($A110="",$D110="",$E110="",$G110="",$H110=""),"",MIN($C110,'القوائم'!$N$5)+IFERROR(VLOOKUP($D110,'القوائم'!$A$5:$B$8,2,FALSE),0)+IFERROR(VLOOKUP($E110,'القوائم'!$C$5:$D$7,2,FALSE),0)+IF($F110&gt;='القوائم'!$N$6,2,IF($F110&gt;0,1,0))+IFERROR(VLOOKUP($G110,'القوائم'!$E$5:$F$7,2,FALSE),0)+IFERROR(VLOOKUP($H110,'القوائم'!$G$5:$H$7,2,FALSE),0))</f>
        <v/>
      </c>
      <c r="J110" s="7" t="n"/>
      <c r="K110" s="5" t="n"/>
      <c r="L110" s="5" t="n"/>
      <c r="M110" s="5" t="n"/>
      <c r="N110" s="11">
        <f>IF($A110="","",IF(COUNTIFS('مقدّمو الطلبات'!$A$5:$A$204,$A110,'مقدّمو الطلبات'!$J$5:$J$204,"&lt;&gt;")=0,"",SUMPRODUCT(MAX(('مقدّمو الطلبات'!$A$5:$A$204=$A110)*'مقدّمو الطلبات'!$J$5:$J$204))))</f>
        <v/>
      </c>
      <c r="O110" s="6">
        <f>IF($A110="","",COUNTIFS('مقدّمو الطلبات'!$A$5:$A$204,$A110,'مقدّمو الطلبات'!$K$5:$K$204,"لا"))</f>
        <v/>
      </c>
      <c r="P110" s="12">
        <f>IF($A110="","",IF($C110=0,"بلا مقدّمي طلب",IF($J110="","بلا قرار",IF($O110&gt;0,"ردود مستحقة",IF(OR($J110="غير مخطط لها",$J110="أُطلقت"),"مغلق","مفتوح")))))</f>
        <v/>
      </c>
      <c r="Q110" s="5" t="n"/>
      <c r="R110">
        <f>IF(ISNUMBER($I110),$I110+(1000-ROW())/100000,"")</f>
        <v/>
      </c>
    </row>
    <row r="111">
      <c r="A111" s="4" t="n"/>
      <c r="B111" s="5" t="n"/>
      <c r="C111" s="6">
        <f>IF($A111="","",COUNTIF('مقدّمو الطلبات'!$A$5:$A$204,$A111))</f>
        <v/>
      </c>
      <c r="D111" s="7" t="n"/>
      <c r="E111" s="5" t="n"/>
      <c r="F111" s="8">
        <f>IF($A111="","",SUMIFS('مقدّمو الطلبات'!$F$5:$F$204,'مقدّمو الطلبات'!$A$5:$A$204,$A111,'مقدّمو الطلبات'!$G$5:$G$204,"نعم"))</f>
        <v/>
      </c>
      <c r="G111" s="9" t="n"/>
      <c r="H111" s="9" t="n"/>
      <c r="I111" s="10">
        <f>IF(OR($A111="",$D111="",$E111="",$G111="",$H111=""),"",MIN($C111,'القوائم'!$N$5)+IFERROR(VLOOKUP($D111,'القوائم'!$A$5:$B$8,2,FALSE),0)+IFERROR(VLOOKUP($E111,'القوائم'!$C$5:$D$7,2,FALSE),0)+IF($F111&gt;='القوائم'!$N$6,2,IF($F111&gt;0,1,0))+IFERROR(VLOOKUP($G111,'القوائم'!$E$5:$F$7,2,FALSE),0)+IFERROR(VLOOKUP($H111,'القوائم'!$G$5:$H$7,2,FALSE),0))</f>
        <v/>
      </c>
      <c r="J111" s="7" t="n"/>
      <c r="K111" s="5" t="n"/>
      <c r="L111" s="5" t="n"/>
      <c r="M111" s="5" t="n"/>
      <c r="N111" s="11">
        <f>IF($A111="","",IF(COUNTIFS('مقدّمو الطلبات'!$A$5:$A$204,$A111,'مقدّمو الطلبات'!$J$5:$J$204,"&lt;&gt;")=0,"",SUMPRODUCT(MAX(('مقدّمو الطلبات'!$A$5:$A$204=$A111)*'مقدّمو الطلبات'!$J$5:$J$204))))</f>
        <v/>
      </c>
      <c r="O111" s="6">
        <f>IF($A111="","",COUNTIFS('مقدّمو الطلبات'!$A$5:$A$204,$A111,'مقدّمو الطلبات'!$K$5:$K$204,"لا"))</f>
        <v/>
      </c>
      <c r="P111" s="12">
        <f>IF($A111="","",IF($C111=0,"بلا مقدّمي طلب",IF($J111="","بلا قرار",IF($O111&gt;0,"ردود مستحقة",IF(OR($J111="غير مخطط لها",$J111="أُطلقت"),"مغلق","مفتوح")))))</f>
        <v/>
      </c>
      <c r="Q111" s="5" t="n"/>
      <c r="R111">
        <f>IF(ISNUMBER($I111),$I111+(1000-ROW())/100000,"")</f>
        <v/>
      </c>
    </row>
    <row r="112">
      <c r="A112" s="4" t="n"/>
      <c r="B112" s="5" t="n"/>
      <c r="C112" s="6">
        <f>IF($A112="","",COUNTIF('مقدّمو الطلبات'!$A$5:$A$204,$A112))</f>
        <v/>
      </c>
      <c r="D112" s="7" t="n"/>
      <c r="E112" s="5" t="n"/>
      <c r="F112" s="8">
        <f>IF($A112="","",SUMIFS('مقدّمو الطلبات'!$F$5:$F$204,'مقدّمو الطلبات'!$A$5:$A$204,$A112,'مقدّمو الطلبات'!$G$5:$G$204,"نعم"))</f>
        <v/>
      </c>
      <c r="G112" s="9" t="n"/>
      <c r="H112" s="9" t="n"/>
      <c r="I112" s="10">
        <f>IF(OR($A112="",$D112="",$E112="",$G112="",$H112=""),"",MIN($C112,'القوائم'!$N$5)+IFERROR(VLOOKUP($D112,'القوائم'!$A$5:$B$8,2,FALSE),0)+IFERROR(VLOOKUP($E112,'القوائم'!$C$5:$D$7,2,FALSE),0)+IF($F112&gt;='القوائم'!$N$6,2,IF($F112&gt;0,1,0))+IFERROR(VLOOKUP($G112,'القوائم'!$E$5:$F$7,2,FALSE),0)+IFERROR(VLOOKUP($H112,'القوائم'!$G$5:$H$7,2,FALSE),0))</f>
        <v/>
      </c>
      <c r="J112" s="7" t="n"/>
      <c r="K112" s="5" t="n"/>
      <c r="L112" s="5" t="n"/>
      <c r="M112" s="5" t="n"/>
      <c r="N112" s="11">
        <f>IF($A112="","",IF(COUNTIFS('مقدّمو الطلبات'!$A$5:$A$204,$A112,'مقدّمو الطلبات'!$J$5:$J$204,"&lt;&gt;")=0,"",SUMPRODUCT(MAX(('مقدّمو الطلبات'!$A$5:$A$204=$A112)*'مقدّمو الطلبات'!$J$5:$J$204))))</f>
        <v/>
      </c>
      <c r="O112" s="6">
        <f>IF($A112="","",COUNTIFS('مقدّمو الطلبات'!$A$5:$A$204,$A112,'مقدّمو الطلبات'!$K$5:$K$204,"لا"))</f>
        <v/>
      </c>
      <c r="P112" s="12">
        <f>IF($A112="","",IF($C112=0,"بلا مقدّمي طلب",IF($J112="","بلا قرار",IF($O112&gt;0,"ردود مستحقة",IF(OR($J112="غير مخطط لها",$J112="أُطلقت"),"مغلق","مفتوح")))))</f>
        <v/>
      </c>
      <c r="Q112" s="5" t="n"/>
      <c r="R112">
        <f>IF(ISNUMBER($I112),$I112+(1000-ROW())/100000,"")</f>
        <v/>
      </c>
    </row>
    <row r="113">
      <c r="A113" s="4" t="n"/>
      <c r="B113" s="5" t="n"/>
      <c r="C113" s="6">
        <f>IF($A113="","",COUNTIF('مقدّمو الطلبات'!$A$5:$A$204,$A113))</f>
        <v/>
      </c>
      <c r="D113" s="7" t="n"/>
      <c r="E113" s="5" t="n"/>
      <c r="F113" s="8">
        <f>IF($A113="","",SUMIFS('مقدّمو الطلبات'!$F$5:$F$204,'مقدّمو الطلبات'!$A$5:$A$204,$A113,'مقدّمو الطلبات'!$G$5:$G$204,"نعم"))</f>
        <v/>
      </c>
      <c r="G113" s="9" t="n"/>
      <c r="H113" s="9" t="n"/>
      <c r="I113" s="10">
        <f>IF(OR($A113="",$D113="",$E113="",$G113="",$H113=""),"",MIN($C113,'القوائم'!$N$5)+IFERROR(VLOOKUP($D113,'القوائم'!$A$5:$B$8,2,FALSE),0)+IFERROR(VLOOKUP($E113,'القوائم'!$C$5:$D$7,2,FALSE),0)+IF($F113&gt;='القوائم'!$N$6,2,IF($F113&gt;0,1,0))+IFERROR(VLOOKUP($G113,'القوائم'!$E$5:$F$7,2,FALSE),0)+IFERROR(VLOOKUP($H113,'القوائم'!$G$5:$H$7,2,FALSE),0))</f>
        <v/>
      </c>
      <c r="J113" s="7" t="n"/>
      <c r="K113" s="5" t="n"/>
      <c r="L113" s="5" t="n"/>
      <c r="M113" s="5" t="n"/>
      <c r="N113" s="11">
        <f>IF($A113="","",IF(COUNTIFS('مقدّمو الطلبات'!$A$5:$A$204,$A113,'مقدّمو الطلبات'!$J$5:$J$204,"&lt;&gt;")=0,"",SUMPRODUCT(MAX(('مقدّمو الطلبات'!$A$5:$A$204=$A113)*'مقدّمو الطلبات'!$J$5:$J$204))))</f>
        <v/>
      </c>
      <c r="O113" s="6">
        <f>IF($A113="","",COUNTIFS('مقدّمو الطلبات'!$A$5:$A$204,$A113,'مقدّمو الطلبات'!$K$5:$K$204,"لا"))</f>
        <v/>
      </c>
      <c r="P113" s="12">
        <f>IF($A113="","",IF($C113=0,"بلا مقدّمي طلب",IF($J113="","بلا قرار",IF($O113&gt;0,"ردود مستحقة",IF(OR($J113="غير مخطط لها",$J113="أُطلقت"),"مغلق","مفتوح")))))</f>
        <v/>
      </c>
      <c r="Q113" s="5" t="n"/>
      <c r="R113">
        <f>IF(ISNUMBER($I113),$I113+(1000-ROW())/100000,"")</f>
        <v/>
      </c>
    </row>
    <row r="114">
      <c r="A114" s="4" t="n"/>
      <c r="B114" s="5" t="n"/>
      <c r="C114" s="6">
        <f>IF($A114="","",COUNTIF('مقدّمو الطلبات'!$A$5:$A$204,$A114))</f>
        <v/>
      </c>
      <c r="D114" s="7" t="n"/>
      <c r="E114" s="5" t="n"/>
      <c r="F114" s="8">
        <f>IF($A114="","",SUMIFS('مقدّمو الطلبات'!$F$5:$F$204,'مقدّمو الطلبات'!$A$5:$A$204,$A114,'مقدّمو الطلبات'!$G$5:$G$204,"نعم"))</f>
        <v/>
      </c>
      <c r="G114" s="9" t="n"/>
      <c r="H114" s="9" t="n"/>
      <c r="I114" s="10">
        <f>IF(OR($A114="",$D114="",$E114="",$G114="",$H114=""),"",MIN($C114,'القوائم'!$N$5)+IFERROR(VLOOKUP($D114,'القوائم'!$A$5:$B$8,2,FALSE),0)+IFERROR(VLOOKUP($E114,'القوائم'!$C$5:$D$7,2,FALSE),0)+IF($F114&gt;='القوائم'!$N$6,2,IF($F114&gt;0,1,0))+IFERROR(VLOOKUP($G114,'القوائم'!$E$5:$F$7,2,FALSE),0)+IFERROR(VLOOKUP($H114,'القوائم'!$G$5:$H$7,2,FALSE),0))</f>
        <v/>
      </c>
      <c r="J114" s="7" t="n"/>
      <c r="K114" s="5" t="n"/>
      <c r="L114" s="5" t="n"/>
      <c r="M114" s="5" t="n"/>
      <c r="N114" s="11">
        <f>IF($A114="","",IF(COUNTIFS('مقدّمو الطلبات'!$A$5:$A$204,$A114,'مقدّمو الطلبات'!$J$5:$J$204,"&lt;&gt;")=0,"",SUMPRODUCT(MAX(('مقدّمو الطلبات'!$A$5:$A$204=$A114)*'مقدّمو الطلبات'!$J$5:$J$204))))</f>
        <v/>
      </c>
      <c r="O114" s="6">
        <f>IF($A114="","",COUNTIFS('مقدّمو الطلبات'!$A$5:$A$204,$A114,'مقدّمو الطلبات'!$K$5:$K$204,"لا"))</f>
        <v/>
      </c>
      <c r="P114" s="12">
        <f>IF($A114="","",IF($C114=0,"بلا مقدّمي طلب",IF($J114="","بلا قرار",IF($O114&gt;0,"ردود مستحقة",IF(OR($J114="غير مخطط لها",$J114="أُطلقت"),"مغلق","مفتوح")))))</f>
        <v/>
      </c>
      <c r="Q114" s="5" t="n"/>
      <c r="R114">
        <f>IF(ISNUMBER($I114),$I114+(1000-ROW())/100000,"")</f>
        <v/>
      </c>
    </row>
    <row r="115">
      <c r="A115" s="4" t="n"/>
      <c r="B115" s="5" t="n"/>
      <c r="C115" s="6">
        <f>IF($A115="","",COUNTIF('مقدّمو الطلبات'!$A$5:$A$204,$A115))</f>
        <v/>
      </c>
      <c r="D115" s="7" t="n"/>
      <c r="E115" s="5" t="n"/>
      <c r="F115" s="8">
        <f>IF($A115="","",SUMIFS('مقدّمو الطلبات'!$F$5:$F$204,'مقدّمو الطلبات'!$A$5:$A$204,$A115,'مقدّمو الطلبات'!$G$5:$G$204,"نعم"))</f>
        <v/>
      </c>
      <c r="G115" s="9" t="n"/>
      <c r="H115" s="9" t="n"/>
      <c r="I115" s="10">
        <f>IF(OR($A115="",$D115="",$E115="",$G115="",$H115=""),"",MIN($C115,'القوائم'!$N$5)+IFERROR(VLOOKUP($D115,'القوائم'!$A$5:$B$8,2,FALSE),0)+IFERROR(VLOOKUP($E115,'القوائم'!$C$5:$D$7,2,FALSE),0)+IF($F115&gt;='القوائم'!$N$6,2,IF($F115&gt;0,1,0))+IFERROR(VLOOKUP($G115,'القوائم'!$E$5:$F$7,2,FALSE),0)+IFERROR(VLOOKUP($H115,'القوائم'!$G$5:$H$7,2,FALSE),0))</f>
        <v/>
      </c>
      <c r="J115" s="7" t="n"/>
      <c r="K115" s="5" t="n"/>
      <c r="L115" s="5" t="n"/>
      <c r="M115" s="5" t="n"/>
      <c r="N115" s="11">
        <f>IF($A115="","",IF(COUNTIFS('مقدّمو الطلبات'!$A$5:$A$204,$A115,'مقدّمو الطلبات'!$J$5:$J$204,"&lt;&gt;")=0,"",SUMPRODUCT(MAX(('مقدّمو الطلبات'!$A$5:$A$204=$A115)*'مقدّمو الطلبات'!$J$5:$J$204))))</f>
        <v/>
      </c>
      <c r="O115" s="6">
        <f>IF($A115="","",COUNTIFS('مقدّمو الطلبات'!$A$5:$A$204,$A115,'مقدّمو الطلبات'!$K$5:$K$204,"لا"))</f>
        <v/>
      </c>
      <c r="P115" s="12">
        <f>IF($A115="","",IF($C115=0,"بلا مقدّمي طلب",IF($J115="","بلا قرار",IF($O115&gt;0,"ردود مستحقة",IF(OR($J115="غير مخطط لها",$J115="أُطلقت"),"مغلق","مفتوح")))))</f>
        <v/>
      </c>
      <c r="Q115" s="5" t="n"/>
      <c r="R115">
        <f>IF(ISNUMBER($I115),$I115+(1000-ROW())/100000,"")</f>
        <v/>
      </c>
    </row>
    <row r="116">
      <c r="A116" s="4" t="n"/>
      <c r="B116" s="5" t="n"/>
      <c r="C116" s="6">
        <f>IF($A116="","",COUNTIF('مقدّمو الطلبات'!$A$5:$A$204,$A116))</f>
        <v/>
      </c>
      <c r="D116" s="7" t="n"/>
      <c r="E116" s="5" t="n"/>
      <c r="F116" s="8">
        <f>IF($A116="","",SUMIFS('مقدّمو الطلبات'!$F$5:$F$204,'مقدّمو الطلبات'!$A$5:$A$204,$A116,'مقدّمو الطلبات'!$G$5:$G$204,"نعم"))</f>
        <v/>
      </c>
      <c r="G116" s="9" t="n"/>
      <c r="H116" s="9" t="n"/>
      <c r="I116" s="10">
        <f>IF(OR($A116="",$D116="",$E116="",$G116="",$H116=""),"",MIN($C116,'القوائم'!$N$5)+IFERROR(VLOOKUP($D116,'القوائم'!$A$5:$B$8,2,FALSE),0)+IFERROR(VLOOKUP($E116,'القوائم'!$C$5:$D$7,2,FALSE),0)+IF($F116&gt;='القوائم'!$N$6,2,IF($F116&gt;0,1,0))+IFERROR(VLOOKUP($G116,'القوائم'!$E$5:$F$7,2,FALSE),0)+IFERROR(VLOOKUP($H116,'القوائم'!$G$5:$H$7,2,FALSE),0))</f>
        <v/>
      </c>
      <c r="J116" s="7" t="n"/>
      <c r="K116" s="5" t="n"/>
      <c r="L116" s="5" t="n"/>
      <c r="M116" s="5" t="n"/>
      <c r="N116" s="11">
        <f>IF($A116="","",IF(COUNTIFS('مقدّمو الطلبات'!$A$5:$A$204,$A116,'مقدّمو الطلبات'!$J$5:$J$204,"&lt;&gt;")=0,"",SUMPRODUCT(MAX(('مقدّمو الطلبات'!$A$5:$A$204=$A116)*'مقدّمو الطلبات'!$J$5:$J$204))))</f>
        <v/>
      </c>
      <c r="O116" s="6">
        <f>IF($A116="","",COUNTIFS('مقدّمو الطلبات'!$A$5:$A$204,$A116,'مقدّمو الطلبات'!$K$5:$K$204,"لا"))</f>
        <v/>
      </c>
      <c r="P116" s="12">
        <f>IF($A116="","",IF($C116=0,"بلا مقدّمي طلب",IF($J116="","بلا قرار",IF($O116&gt;0,"ردود مستحقة",IF(OR($J116="غير مخطط لها",$J116="أُطلقت"),"مغلق","مفتوح")))))</f>
        <v/>
      </c>
      <c r="Q116" s="5" t="n"/>
      <c r="R116">
        <f>IF(ISNUMBER($I116),$I116+(1000-ROW())/100000,"")</f>
        <v/>
      </c>
    </row>
    <row r="117">
      <c r="A117" s="4" t="n"/>
      <c r="B117" s="5" t="n"/>
      <c r="C117" s="6">
        <f>IF($A117="","",COUNTIF('مقدّمو الطلبات'!$A$5:$A$204,$A117))</f>
        <v/>
      </c>
      <c r="D117" s="7" t="n"/>
      <c r="E117" s="5" t="n"/>
      <c r="F117" s="8">
        <f>IF($A117="","",SUMIFS('مقدّمو الطلبات'!$F$5:$F$204,'مقدّمو الطلبات'!$A$5:$A$204,$A117,'مقدّمو الطلبات'!$G$5:$G$204,"نعم"))</f>
        <v/>
      </c>
      <c r="G117" s="9" t="n"/>
      <c r="H117" s="9" t="n"/>
      <c r="I117" s="10">
        <f>IF(OR($A117="",$D117="",$E117="",$G117="",$H117=""),"",MIN($C117,'القوائم'!$N$5)+IFERROR(VLOOKUP($D117,'القوائم'!$A$5:$B$8,2,FALSE),0)+IFERROR(VLOOKUP($E117,'القوائم'!$C$5:$D$7,2,FALSE),0)+IF($F117&gt;='القوائم'!$N$6,2,IF($F117&gt;0,1,0))+IFERROR(VLOOKUP($G117,'القوائم'!$E$5:$F$7,2,FALSE),0)+IFERROR(VLOOKUP($H117,'القوائم'!$G$5:$H$7,2,FALSE),0))</f>
        <v/>
      </c>
      <c r="J117" s="7" t="n"/>
      <c r="K117" s="5" t="n"/>
      <c r="L117" s="5" t="n"/>
      <c r="M117" s="5" t="n"/>
      <c r="N117" s="11">
        <f>IF($A117="","",IF(COUNTIFS('مقدّمو الطلبات'!$A$5:$A$204,$A117,'مقدّمو الطلبات'!$J$5:$J$204,"&lt;&gt;")=0,"",SUMPRODUCT(MAX(('مقدّمو الطلبات'!$A$5:$A$204=$A117)*'مقدّمو الطلبات'!$J$5:$J$204))))</f>
        <v/>
      </c>
      <c r="O117" s="6">
        <f>IF($A117="","",COUNTIFS('مقدّمو الطلبات'!$A$5:$A$204,$A117,'مقدّمو الطلبات'!$K$5:$K$204,"لا"))</f>
        <v/>
      </c>
      <c r="P117" s="12">
        <f>IF($A117="","",IF($C117=0,"بلا مقدّمي طلب",IF($J117="","بلا قرار",IF($O117&gt;0,"ردود مستحقة",IF(OR($J117="غير مخطط لها",$J117="أُطلقت"),"مغلق","مفتوح")))))</f>
        <v/>
      </c>
      <c r="Q117" s="5" t="n"/>
      <c r="R117">
        <f>IF(ISNUMBER($I117),$I117+(1000-ROW())/100000,"")</f>
        <v/>
      </c>
    </row>
    <row r="118">
      <c r="A118" s="4" t="n"/>
      <c r="B118" s="5" t="n"/>
      <c r="C118" s="6">
        <f>IF($A118="","",COUNTIF('مقدّمو الطلبات'!$A$5:$A$204,$A118))</f>
        <v/>
      </c>
      <c r="D118" s="7" t="n"/>
      <c r="E118" s="5" t="n"/>
      <c r="F118" s="8">
        <f>IF($A118="","",SUMIFS('مقدّمو الطلبات'!$F$5:$F$204,'مقدّمو الطلبات'!$A$5:$A$204,$A118,'مقدّمو الطلبات'!$G$5:$G$204,"نعم"))</f>
        <v/>
      </c>
      <c r="G118" s="9" t="n"/>
      <c r="H118" s="9" t="n"/>
      <c r="I118" s="10">
        <f>IF(OR($A118="",$D118="",$E118="",$G118="",$H118=""),"",MIN($C118,'القوائم'!$N$5)+IFERROR(VLOOKUP($D118,'القوائم'!$A$5:$B$8,2,FALSE),0)+IFERROR(VLOOKUP($E118,'القوائم'!$C$5:$D$7,2,FALSE),0)+IF($F118&gt;='القوائم'!$N$6,2,IF($F118&gt;0,1,0))+IFERROR(VLOOKUP($G118,'القوائم'!$E$5:$F$7,2,FALSE),0)+IFERROR(VLOOKUP($H118,'القوائم'!$G$5:$H$7,2,FALSE),0))</f>
        <v/>
      </c>
      <c r="J118" s="7" t="n"/>
      <c r="K118" s="5" t="n"/>
      <c r="L118" s="5" t="n"/>
      <c r="M118" s="5" t="n"/>
      <c r="N118" s="11">
        <f>IF($A118="","",IF(COUNTIFS('مقدّمو الطلبات'!$A$5:$A$204,$A118,'مقدّمو الطلبات'!$J$5:$J$204,"&lt;&gt;")=0,"",SUMPRODUCT(MAX(('مقدّمو الطلبات'!$A$5:$A$204=$A118)*'مقدّمو الطلبات'!$J$5:$J$204))))</f>
        <v/>
      </c>
      <c r="O118" s="6">
        <f>IF($A118="","",COUNTIFS('مقدّمو الطلبات'!$A$5:$A$204,$A118,'مقدّمو الطلبات'!$K$5:$K$204,"لا"))</f>
        <v/>
      </c>
      <c r="P118" s="12">
        <f>IF($A118="","",IF($C118=0,"بلا مقدّمي طلب",IF($J118="","بلا قرار",IF($O118&gt;0,"ردود مستحقة",IF(OR($J118="غير مخطط لها",$J118="أُطلقت"),"مغلق","مفتوح")))))</f>
        <v/>
      </c>
      <c r="Q118" s="5" t="n"/>
      <c r="R118">
        <f>IF(ISNUMBER($I118),$I118+(1000-ROW())/100000,"")</f>
        <v/>
      </c>
    </row>
    <row r="119">
      <c r="A119" s="4" t="n"/>
      <c r="B119" s="5" t="n"/>
      <c r="C119" s="6">
        <f>IF($A119="","",COUNTIF('مقدّمو الطلبات'!$A$5:$A$204,$A119))</f>
        <v/>
      </c>
      <c r="D119" s="7" t="n"/>
      <c r="E119" s="5" t="n"/>
      <c r="F119" s="8">
        <f>IF($A119="","",SUMIFS('مقدّمو الطلبات'!$F$5:$F$204,'مقدّمو الطلبات'!$A$5:$A$204,$A119,'مقدّمو الطلبات'!$G$5:$G$204,"نعم"))</f>
        <v/>
      </c>
      <c r="G119" s="9" t="n"/>
      <c r="H119" s="9" t="n"/>
      <c r="I119" s="10">
        <f>IF(OR($A119="",$D119="",$E119="",$G119="",$H119=""),"",MIN($C119,'القوائم'!$N$5)+IFERROR(VLOOKUP($D119,'القوائم'!$A$5:$B$8,2,FALSE),0)+IFERROR(VLOOKUP($E119,'القوائم'!$C$5:$D$7,2,FALSE),0)+IF($F119&gt;='القوائم'!$N$6,2,IF($F119&gt;0,1,0))+IFERROR(VLOOKUP($G119,'القوائم'!$E$5:$F$7,2,FALSE),0)+IFERROR(VLOOKUP($H119,'القوائم'!$G$5:$H$7,2,FALSE),0))</f>
        <v/>
      </c>
      <c r="J119" s="7" t="n"/>
      <c r="K119" s="5" t="n"/>
      <c r="L119" s="5" t="n"/>
      <c r="M119" s="5" t="n"/>
      <c r="N119" s="11">
        <f>IF($A119="","",IF(COUNTIFS('مقدّمو الطلبات'!$A$5:$A$204,$A119,'مقدّمو الطلبات'!$J$5:$J$204,"&lt;&gt;")=0,"",SUMPRODUCT(MAX(('مقدّمو الطلبات'!$A$5:$A$204=$A119)*'مقدّمو الطلبات'!$J$5:$J$204))))</f>
        <v/>
      </c>
      <c r="O119" s="6">
        <f>IF($A119="","",COUNTIFS('مقدّمو الطلبات'!$A$5:$A$204,$A119,'مقدّمو الطلبات'!$K$5:$K$204,"لا"))</f>
        <v/>
      </c>
      <c r="P119" s="12">
        <f>IF($A119="","",IF($C119=0,"بلا مقدّمي طلب",IF($J119="","بلا قرار",IF($O119&gt;0,"ردود مستحقة",IF(OR($J119="غير مخطط لها",$J119="أُطلقت"),"مغلق","مفتوح")))))</f>
        <v/>
      </c>
      <c r="Q119" s="5" t="n"/>
      <c r="R119">
        <f>IF(ISNUMBER($I119),$I119+(1000-ROW())/100000,"")</f>
        <v/>
      </c>
    </row>
    <row r="120">
      <c r="A120" s="4" t="n"/>
      <c r="B120" s="5" t="n"/>
      <c r="C120" s="6">
        <f>IF($A120="","",COUNTIF('مقدّمو الطلبات'!$A$5:$A$204,$A120))</f>
        <v/>
      </c>
      <c r="D120" s="7" t="n"/>
      <c r="E120" s="5" t="n"/>
      <c r="F120" s="8">
        <f>IF($A120="","",SUMIFS('مقدّمو الطلبات'!$F$5:$F$204,'مقدّمو الطلبات'!$A$5:$A$204,$A120,'مقدّمو الطلبات'!$G$5:$G$204,"نعم"))</f>
        <v/>
      </c>
      <c r="G120" s="9" t="n"/>
      <c r="H120" s="9" t="n"/>
      <c r="I120" s="10">
        <f>IF(OR($A120="",$D120="",$E120="",$G120="",$H120=""),"",MIN($C120,'القوائم'!$N$5)+IFERROR(VLOOKUP($D120,'القوائم'!$A$5:$B$8,2,FALSE),0)+IFERROR(VLOOKUP($E120,'القوائم'!$C$5:$D$7,2,FALSE),0)+IF($F120&gt;='القوائم'!$N$6,2,IF($F120&gt;0,1,0))+IFERROR(VLOOKUP($G120,'القوائم'!$E$5:$F$7,2,FALSE),0)+IFERROR(VLOOKUP($H120,'القوائم'!$G$5:$H$7,2,FALSE),0))</f>
        <v/>
      </c>
      <c r="J120" s="7" t="n"/>
      <c r="K120" s="5" t="n"/>
      <c r="L120" s="5" t="n"/>
      <c r="M120" s="5" t="n"/>
      <c r="N120" s="11">
        <f>IF($A120="","",IF(COUNTIFS('مقدّمو الطلبات'!$A$5:$A$204,$A120,'مقدّمو الطلبات'!$J$5:$J$204,"&lt;&gt;")=0,"",SUMPRODUCT(MAX(('مقدّمو الطلبات'!$A$5:$A$204=$A120)*'مقدّمو الطلبات'!$J$5:$J$204))))</f>
        <v/>
      </c>
      <c r="O120" s="6">
        <f>IF($A120="","",COUNTIFS('مقدّمو الطلبات'!$A$5:$A$204,$A120,'مقدّمو الطلبات'!$K$5:$K$204,"لا"))</f>
        <v/>
      </c>
      <c r="P120" s="12">
        <f>IF($A120="","",IF($C120=0,"بلا مقدّمي طلب",IF($J120="","بلا قرار",IF($O120&gt;0,"ردود مستحقة",IF(OR($J120="غير مخطط لها",$J120="أُطلقت"),"مغلق","مفتوح")))))</f>
        <v/>
      </c>
      <c r="Q120" s="5" t="n"/>
      <c r="R120">
        <f>IF(ISNUMBER($I120),$I120+(1000-ROW())/100000,"")</f>
        <v/>
      </c>
    </row>
    <row r="121">
      <c r="A121" s="4" t="n"/>
      <c r="B121" s="5" t="n"/>
      <c r="C121" s="6">
        <f>IF($A121="","",COUNTIF('مقدّمو الطلبات'!$A$5:$A$204,$A121))</f>
        <v/>
      </c>
      <c r="D121" s="7" t="n"/>
      <c r="E121" s="5" t="n"/>
      <c r="F121" s="8">
        <f>IF($A121="","",SUMIFS('مقدّمو الطلبات'!$F$5:$F$204,'مقدّمو الطلبات'!$A$5:$A$204,$A121,'مقدّمو الطلبات'!$G$5:$G$204,"نعم"))</f>
        <v/>
      </c>
      <c r="G121" s="9" t="n"/>
      <c r="H121" s="9" t="n"/>
      <c r="I121" s="10">
        <f>IF(OR($A121="",$D121="",$E121="",$G121="",$H121=""),"",MIN($C121,'القوائم'!$N$5)+IFERROR(VLOOKUP($D121,'القوائم'!$A$5:$B$8,2,FALSE),0)+IFERROR(VLOOKUP($E121,'القوائم'!$C$5:$D$7,2,FALSE),0)+IF($F121&gt;='القوائم'!$N$6,2,IF($F121&gt;0,1,0))+IFERROR(VLOOKUP($G121,'القوائم'!$E$5:$F$7,2,FALSE),0)+IFERROR(VLOOKUP($H121,'القوائم'!$G$5:$H$7,2,FALSE),0))</f>
        <v/>
      </c>
      <c r="J121" s="7" t="n"/>
      <c r="K121" s="5" t="n"/>
      <c r="L121" s="5" t="n"/>
      <c r="M121" s="5" t="n"/>
      <c r="N121" s="11">
        <f>IF($A121="","",IF(COUNTIFS('مقدّمو الطلبات'!$A$5:$A$204,$A121,'مقدّمو الطلبات'!$J$5:$J$204,"&lt;&gt;")=0,"",SUMPRODUCT(MAX(('مقدّمو الطلبات'!$A$5:$A$204=$A121)*'مقدّمو الطلبات'!$J$5:$J$204))))</f>
        <v/>
      </c>
      <c r="O121" s="6">
        <f>IF($A121="","",COUNTIFS('مقدّمو الطلبات'!$A$5:$A$204,$A121,'مقدّمو الطلبات'!$K$5:$K$204,"لا"))</f>
        <v/>
      </c>
      <c r="P121" s="12">
        <f>IF($A121="","",IF($C121=0,"بلا مقدّمي طلب",IF($J121="","بلا قرار",IF($O121&gt;0,"ردود مستحقة",IF(OR($J121="غير مخطط لها",$J121="أُطلقت"),"مغلق","مفتوح")))))</f>
        <v/>
      </c>
      <c r="Q121" s="5" t="n"/>
      <c r="R121">
        <f>IF(ISNUMBER($I121),$I121+(1000-ROW())/100000,"")</f>
        <v/>
      </c>
    </row>
    <row r="122">
      <c r="A122" s="4" t="n"/>
      <c r="B122" s="5" t="n"/>
      <c r="C122" s="6">
        <f>IF($A122="","",COUNTIF('مقدّمو الطلبات'!$A$5:$A$204,$A122))</f>
        <v/>
      </c>
      <c r="D122" s="7" t="n"/>
      <c r="E122" s="5" t="n"/>
      <c r="F122" s="8">
        <f>IF($A122="","",SUMIFS('مقدّمو الطلبات'!$F$5:$F$204,'مقدّمو الطلبات'!$A$5:$A$204,$A122,'مقدّمو الطلبات'!$G$5:$G$204,"نعم"))</f>
        <v/>
      </c>
      <c r="G122" s="9" t="n"/>
      <c r="H122" s="9" t="n"/>
      <c r="I122" s="10">
        <f>IF(OR($A122="",$D122="",$E122="",$G122="",$H122=""),"",MIN($C122,'القوائم'!$N$5)+IFERROR(VLOOKUP($D122,'القوائم'!$A$5:$B$8,2,FALSE),0)+IFERROR(VLOOKUP($E122,'القوائم'!$C$5:$D$7,2,FALSE),0)+IF($F122&gt;='القوائم'!$N$6,2,IF($F122&gt;0,1,0))+IFERROR(VLOOKUP($G122,'القوائم'!$E$5:$F$7,2,FALSE),0)+IFERROR(VLOOKUP($H122,'القوائم'!$G$5:$H$7,2,FALSE),0))</f>
        <v/>
      </c>
      <c r="J122" s="7" t="n"/>
      <c r="K122" s="5" t="n"/>
      <c r="L122" s="5" t="n"/>
      <c r="M122" s="5" t="n"/>
      <c r="N122" s="11">
        <f>IF($A122="","",IF(COUNTIFS('مقدّمو الطلبات'!$A$5:$A$204,$A122,'مقدّمو الطلبات'!$J$5:$J$204,"&lt;&gt;")=0,"",SUMPRODUCT(MAX(('مقدّمو الطلبات'!$A$5:$A$204=$A122)*'مقدّمو الطلبات'!$J$5:$J$204))))</f>
        <v/>
      </c>
      <c r="O122" s="6">
        <f>IF($A122="","",COUNTIFS('مقدّمو الطلبات'!$A$5:$A$204,$A122,'مقدّمو الطلبات'!$K$5:$K$204,"لا"))</f>
        <v/>
      </c>
      <c r="P122" s="12">
        <f>IF($A122="","",IF($C122=0,"بلا مقدّمي طلب",IF($J122="","بلا قرار",IF($O122&gt;0,"ردود مستحقة",IF(OR($J122="غير مخطط لها",$J122="أُطلقت"),"مغلق","مفتوح")))))</f>
        <v/>
      </c>
      <c r="Q122" s="5" t="n"/>
      <c r="R122">
        <f>IF(ISNUMBER($I122),$I122+(1000-ROW())/100000,"")</f>
        <v/>
      </c>
    </row>
    <row r="123">
      <c r="A123" s="4" t="n"/>
      <c r="B123" s="5" t="n"/>
      <c r="C123" s="6">
        <f>IF($A123="","",COUNTIF('مقدّمو الطلبات'!$A$5:$A$204,$A123))</f>
        <v/>
      </c>
      <c r="D123" s="7" t="n"/>
      <c r="E123" s="5" t="n"/>
      <c r="F123" s="8">
        <f>IF($A123="","",SUMIFS('مقدّمو الطلبات'!$F$5:$F$204,'مقدّمو الطلبات'!$A$5:$A$204,$A123,'مقدّمو الطلبات'!$G$5:$G$204,"نعم"))</f>
        <v/>
      </c>
      <c r="G123" s="9" t="n"/>
      <c r="H123" s="9" t="n"/>
      <c r="I123" s="10">
        <f>IF(OR($A123="",$D123="",$E123="",$G123="",$H123=""),"",MIN($C123,'القوائم'!$N$5)+IFERROR(VLOOKUP($D123,'القوائم'!$A$5:$B$8,2,FALSE),0)+IFERROR(VLOOKUP($E123,'القوائم'!$C$5:$D$7,2,FALSE),0)+IF($F123&gt;='القوائم'!$N$6,2,IF($F123&gt;0,1,0))+IFERROR(VLOOKUP($G123,'القوائم'!$E$5:$F$7,2,FALSE),0)+IFERROR(VLOOKUP($H123,'القوائم'!$G$5:$H$7,2,FALSE),0))</f>
        <v/>
      </c>
      <c r="J123" s="7" t="n"/>
      <c r="K123" s="5" t="n"/>
      <c r="L123" s="5" t="n"/>
      <c r="M123" s="5" t="n"/>
      <c r="N123" s="11">
        <f>IF($A123="","",IF(COUNTIFS('مقدّمو الطلبات'!$A$5:$A$204,$A123,'مقدّمو الطلبات'!$J$5:$J$204,"&lt;&gt;")=0,"",SUMPRODUCT(MAX(('مقدّمو الطلبات'!$A$5:$A$204=$A123)*'مقدّمو الطلبات'!$J$5:$J$204))))</f>
        <v/>
      </c>
      <c r="O123" s="6">
        <f>IF($A123="","",COUNTIFS('مقدّمو الطلبات'!$A$5:$A$204,$A123,'مقدّمو الطلبات'!$K$5:$K$204,"لا"))</f>
        <v/>
      </c>
      <c r="P123" s="12">
        <f>IF($A123="","",IF($C123=0,"بلا مقدّمي طلب",IF($J123="","بلا قرار",IF($O123&gt;0,"ردود مستحقة",IF(OR($J123="غير مخطط لها",$J123="أُطلقت"),"مغلق","مفتوح")))))</f>
        <v/>
      </c>
      <c r="Q123" s="5" t="n"/>
      <c r="R123">
        <f>IF(ISNUMBER($I123),$I123+(1000-ROW())/100000,"")</f>
        <v/>
      </c>
    </row>
    <row r="124">
      <c r="A124" s="4" t="n"/>
      <c r="B124" s="5" t="n"/>
      <c r="C124" s="6">
        <f>IF($A124="","",COUNTIF('مقدّمو الطلبات'!$A$5:$A$204,$A124))</f>
        <v/>
      </c>
      <c r="D124" s="7" t="n"/>
      <c r="E124" s="5" t="n"/>
      <c r="F124" s="8">
        <f>IF($A124="","",SUMIFS('مقدّمو الطلبات'!$F$5:$F$204,'مقدّمو الطلبات'!$A$5:$A$204,$A124,'مقدّمو الطلبات'!$G$5:$G$204,"نعم"))</f>
        <v/>
      </c>
      <c r="G124" s="9" t="n"/>
      <c r="H124" s="9" t="n"/>
      <c r="I124" s="10">
        <f>IF(OR($A124="",$D124="",$E124="",$G124="",$H124=""),"",MIN($C124,'القوائم'!$N$5)+IFERROR(VLOOKUP($D124,'القوائم'!$A$5:$B$8,2,FALSE),0)+IFERROR(VLOOKUP($E124,'القوائم'!$C$5:$D$7,2,FALSE),0)+IF($F124&gt;='القوائم'!$N$6,2,IF($F124&gt;0,1,0))+IFERROR(VLOOKUP($G124,'القوائم'!$E$5:$F$7,2,FALSE),0)+IFERROR(VLOOKUP($H124,'القوائم'!$G$5:$H$7,2,FALSE),0))</f>
        <v/>
      </c>
      <c r="J124" s="7" t="n"/>
      <c r="K124" s="5" t="n"/>
      <c r="L124" s="5" t="n"/>
      <c r="M124" s="5" t="n"/>
      <c r="N124" s="11">
        <f>IF($A124="","",IF(COUNTIFS('مقدّمو الطلبات'!$A$5:$A$204,$A124,'مقدّمو الطلبات'!$J$5:$J$204,"&lt;&gt;")=0,"",SUMPRODUCT(MAX(('مقدّمو الطلبات'!$A$5:$A$204=$A124)*'مقدّمو الطلبات'!$J$5:$J$204))))</f>
        <v/>
      </c>
      <c r="O124" s="6">
        <f>IF($A124="","",COUNTIFS('مقدّمو الطلبات'!$A$5:$A$204,$A124,'مقدّمو الطلبات'!$K$5:$K$204,"لا"))</f>
        <v/>
      </c>
      <c r="P124" s="12">
        <f>IF($A124="","",IF($C124=0,"بلا مقدّمي طلب",IF($J124="","بلا قرار",IF($O124&gt;0,"ردود مستحقة",IF(OR($J124="غير مخطط لها",$J124="أُطلقت"),"مغلق","مفتوح")))))</f>
        <v/>
      </c>
      <c r="Q124" s="5" t="n"/>
      <c r="R124">
        <f>IF(ISNUMBER($I124),$I124+(1000-ROW())/100000,"")</f>
        <v/>
      </c>
    </row>
    <row r="125">
      <c r="A125" s="4" t="n"/>
      <c r="B125" s="5" t="n"/>
      <c r="C125" s="6">
        <f>IF($A125="","",COUNTIF('مقدّمو الطلبات'!$A$5:$A$204,$A125))</f>
        <v/>
      </c>
      <c r="D125" s="7" t="n"/>
      <c r="E125" s="5" t="n"/>
      <c r="F125" s="8">
        <f>IF($A125="","",SUMIFS('مقدّمو الطلبات'!$F$5:$F$204,'مقدّمو الطلبات'!$A$5:$A$204,$A125,'مقدّمو الطلبات'!$G$5:$G$204,"نعم"))</f>
        <v/>
      </c>
      <c r="G125" s="9" t="n"/>
      <c r="H125" s="9" t="n"/>
      <c r="I125" s="10">
        <f>IF(OR($A125="",$D125="",$E125="",$G125="",$H125=""),"",MIN($C125,'القوائم'!$N$5)+IFERROR(VLOOKUP($D125,'القوائم'!$A$5:$B$8,2,FALSE),0)+IFERROR(VLOOKUP($E125,'القوائم'!$C$5:$D$7,2,FALSE),0)+IF($F125&gt;='القوائم'!$N$6,2,IF($F125&gt;0,1,0))+IFERROR(VLOOKUP($G125,'القوائم'!$E$5:$F$7,2,FALSE),0)+IFERROR(VLOOKUP($H125,'القوائم'!$G$5:$H$7,2,FALSE),0))</f>
        <v/>
      </c>
      <c r="J125" s="7" t="n"/>
      <c r="K125" s="5" t="n"/>
      <c r="L125" s="5" t="n"/>
      <c r="M125" s="5" t="n"/>
      <c r="N125" s="11">
        <f>IF($A125="","",IF(COUNTIFS('مقدّمو الطلبات'!$A$5:$A$204,$A125,'مقدّمو الطلبات'!$J$5:$J$204,"&lt;&gt;")=0,"",SUMPRODUCT(MAX(('مقدّمو الطلبات'!$A$5:$A$204=$A125)*'مقدّمو الطلبات'!$J$5:$J$204))))</f>
        <v/>
      </c>
      <c r="O125" s="6">
        <f>IF($A125="","",COUNTIFS('مقدّمو الطلبات'!$A$5:$A$204,$A125,'مقدّمو الطلبات'!$K$5:$K$204,"لا"))</f>
        <v/>
      </c>
      <c r="P125" s="12">
        <f>IF($A125="","",IF($C125=0,"بلا مقدّمي طلب",IF($J125="","بلا قرار",IF($O125&gt;0,"ردود مستحقة",IF(OR($J125="غير مخطط لها",$J125="أُطلقت"),"مغلق","مفتوح")))))</f>
        <v/>
      </c>
      <c r="Q125" s="5" t="n"/>
      <c r="R125">
        <f>IF(ISNUMBER($I125),$I125+(1000-ROW())/100000,"")</f>
        <v/>
      </c>
    </row>
    <row r="126">
      <c r="A126" s="4" t="n"/>
      <c r="B126" s="5" t="n"/>
      <c r="C126" s="6">
        <f>IF($A126="","",COUNTIF('مقدّمو الطلبات'!$A$5:$A$204,$A126))</f>
        <v/>
      </c>
      <c r="D126" s="7" t="n"/>
      <c r="E126" s="5" t="n"/>
      <c r="F126" s="8">
        <f>IF($A126="","",SUMIFS('مقدّمو الطلبات'!$F$5:$F$204,'مقدّمو الطلبات'!$A$5:$A$204,$A126,'مقدّمو الطلبات'!$G$5:$G$204,"نعم"))</f>
        <v/>
      </c>
      <c r="G126" s="9" t="n"/>
      <c r="H126" s="9" t="n"/>
      <c r="I126" s="10">
        <f>IF(OR($A126="",$D126="",$E126="",$G126="",$H126=""),"",MIN($C126,'القوائم'!$N$5)+IFERROR(VLOOKUP($D126,'القوائم'!$A$5:$B$8,2,FALSE),0)+IFERROR(VLOOKUP($E126,'القوائم'!$C$5:$D$7,2,FALSE),0)+IF($F126&gt;='القوائم'!$N$6,2,IF($F126&gt;0,1,0))+IFERROR(VLOOKUP($G126,'القوائم'!$E$5:$F$7,2,FALSE),0)+IFERROR(VLOOKUP($H126,'القوائم'!$G$5:$H$7,2,FALSE),0))</f>
        <v/>
      </c>
      <c r="J126" s="7" t="n"/>
      <c r="K126" s="5" t="n"/>
      <c r="L126" s="5" t="n"/>
      <c r="M126" s="5" t="n"/>
      <c r="N126" s="11">
        <f>IF($A126="","",IF(COUNTIFS('مقدّمو الطلبات'!$A$5:$A$204,$A126,'مقدّمو الطلبات'!$J$5:$J$204,"&lt;&gt;")=0,"",SUMPRODUCT(MAX(('مقدّمو الطلبات'!$A$5:$A$204=$A126)*'مقدّمو الطلبات'!$J$5:$J$204))))</f>
        <v/>
      </c>
      <c r="O126" s="6">
        <f>IF($A126="","",COUNTIFS('مقدّمو الطلبات'!$A$5:$A$204,$A126,'مقدّمو الطلبات'!$K$5:$K$204,"لا"))</f>
        <v/>
      </c>
      <c r="P126" s="12">
        <f>IF($A126="","",IF($C126=0,"بلا مقدّمي طلب",IF($J126="","بلا قرار",IF($O126&gt;0,"ردود مستحقة",IF(OR($J126="غير مخطط لها",$J126="أُطلقت"),"مغلق","مفتوح")))))</f>
        <v/>
      </c>
      <c r="Q126" s="5" t="n"/>
      <c r="R126">
        <f>IF(ISNUMBER($I126),$I126+(1000-ROW())/100000,"")</f>
        <v/>
      </c>
    </row>
    <row r="127">
      <c r="A127" s="4" t="n"/>
      <c r="B127" s="5" t="n"/>
      <c r="C127" s="6">
        <f>IF($A127="","",COUNTIF('مقدّمو الطلبات'!$A$5:$A$204,$A127))</f>
        <v/>
      </c>
      <c r="D127" s="7" t="n"/>
      <c r="E127" s="5" t="n"/>
      <c r="F127" s="8">
        <f>IF($A127="","",SUMIFS('مقدّمو الطلبات'!$F$5:$F$204,'مقدّمو الطلبات'!$A$5:$A$204,$A127,'مقدّمو الطلبات'!$G$5:$G$204,"نعم"))</f>
        <v/>
      </c>
      <c r="G127" s="9" t="n"/>
      <c r="H127" s="9" t="n"/>
      <c r="I127" s="10">
        <f>IF(OR($A127="",$D127="",$E127="",$G127="",$H127=""),"",MIN($C127,'القوائم'!$N$5)+IFERROR(VLOOKUP($D127,'القوائم'!$A$5:$B$8,2,FALSE),0)+IFERROR(VLOOKUP($E127,'القوائم'!$C$5:$D$7,2,FALSE),0)+IF($F127&gt;='القوائم'!$N$6,2,IF($F127&gt;0,1,0))+IFERROR(VLOOKUP($G127,'القوائم'!$E$5:$F$7,2,FALSE),0)+IFERROR(VLOOKUP($H127,'القوائم'!$G$5:$H$7,2,FALSE),0))</f>
        <v/>
      </c>
      <c r="J127" s="7" t="n"/>
      <c r="K127" s="5" t="n"/>
      <c r="L127" s="5" t="n"/>
      <c r="M127" s="5" t="n"/>
      <c r="N127" s="11">
        <f>IF($A127="","",IF(COUNTIFS('مقدّمو الطلبات'!$A$5:$A$204,$A127,'مقدّمو الطلبات'!$J$5:$J$204,"&lt;&gt;")=0,"",SUMPRODUCT(MAX(('مقدّمو الطلبات'!$A$5:$A$204=$A127)*'مقدّمو الطلبات'!$J$5:$J$204))))</f>
        <v/>
      </c>
      <c r="O127" s="6">
        <f>IF($A127="","",COUNTIFS('مقدّمو الطلبات'!$A$5:$A$204,$A127,'مقدّمو الطلبات'!$K$5:$K$204,"لا"))</f>
        <v/>
      </c>
      <c r="P127" s="12">
        <f>IF($A127="","",IF($C127=0,"بلا مقدّمي طلب",IF($J127="","بلا قرار",IF($O127&gt;0,"ردود مستحقة",IF(OR($J127="غير مخطط لها",$J127="أُطلقت"),"مغلق","مفتوح")))))</f>
        <v/>
      </c>
      <c r="Q127" s="5" t="n"/>
      <c r="R127">
        <f>IF(ISNUMBER($I127),$I127+(1000-ROW())/100000,"")</f>
        <v/>
      </c>
    </row>
    <row r="128">
      <c r="A128" s="4" t="n"/>
      <c r="B128" s="5" t="n"/>
      <c r="C128" s="6">
        <f>IF($A128="","",COUNTIF('مقدّمو الطلبات'!$A$5:$A$204,$A128))</f>
        <v/>
      </c>
      <c r="D128" s="7" t="n"/>
      <c r="E128" s="5" t="n"/>
      <c r="F128" s="8">
        <f>IF($A128="","",SUMIFS('مقدّمو الطلبات'!$F$5:$F$204,'مقدّمو الطلبات'!$A$5:$A$204,$A128,'مقدّمو الطلبات'!$G$5:$G$204,"نعم"))</f>
        <v/>
      </c>
      <c r="G128" s="9" t="n"/>
      <c r="H128" s="9" t="n"/>
      <c r="I128" s="10">
        <f>IF(OR($A128="",$D128="",$E128="",$G128="",$H128=""),"",MIN($C128,'القوائم'!$N$5)+IFERROR(VLOOKUP($D128,'القوائم'!$A$5:$B$8,2,FALSE),0)+IFERROR(VLOOKUP($E128,'القوائم'!$C$5:$D$7,2,FALSE),0)+IF($F128&gt;='القوائم'!$N$6,2,IF($F128&gt;0,1,0))+IFERROR(VLOOKUP($G128,'القوائم'!$E$5:$F$7,2,FALSE),0)+IFERROR(VLOOKUP($H128,'القوائم'!$G$5:$H$7,2,FALSE),0))</f>
        <v/>
      </c>
      <c r="J128" s="7" t="n"/>
      <c r="K128" s="5" t="n"/>
      <c r="L128" s="5" t="n"/>
      <c r="M128" s="5" t="n"/>
      <c r="N128" s="11">
        <f>IF($A128="","",IF(COUNTIFS('مقدّمو الطلبات'!$A$5:$A$204,$A128,'مقدّمو الطلبات'!$J$5:$J$204,"&lt;&gt;")=0,"",SUMPRODUCT(MAX(('مقدّمو الطلبات'!$A$5:$A$204=$A128)*'مقدّمو الطلبات'!$J$5:$J$204))))</f>
        <v/>
      </c>
      <c r="O128" s="6">
        <f>IF($A128="","",COUNTIFS('مقدّمو الطلبات'!$A$5:$A$204,$A128,'مقدّمو الطلبات'!$K$5:$K$204,"لا"))</f>
        <v/>
      </c>
      <c r="P128" s="12">
        <f>IF($A128="","",IF($C128=0,"بلا مقدّمي طلب",IF($J128="","بلا قرار",IF($O128&gt;0,"ردود مستحقة",IF(OR($J128="غير مخطط لها",$J128="أُطلقت"),"مغلق","مفتوح")))))</f>
        <v/>
      </c>
      <c r="Q128" s="5" t="n"/>
      <c r="R128">
        <f>IF(ISNUMBER($I128),$I128+(1000-ROW())/100000,"")</f>
        <v/>
      </c>
    </row>
    <row r="129">
      <c r="A129" s="4" t="n"/>
      <c r="B129" s="5" t="n"/>
      <c r="C129" s="6">
        <f>IF($A129="","",COUNTIF('مقدّمو الطلبات'!$A$5:$A$204,$A129))</f>
        <v/>
      </c>
      <c r="D129" s="7" t="n"/>
      <c r="E129" s="5" t="n"/>
      <c r="F129" s="8">
        <f>IF($A129="","",SUMIFS('مقدّمو الطلبات'!$F$5:$F$204,'مقدّمو الطلبات'!$A$5:$A$204,$A129,'مقدّمو الطلبات'!$G$5:$G$204,"نعم"))</f>
        <v/>
      </c>
      <c r="G129" s="9" t="n"/>
      <c r="H129" s="9" t="n"/>
      <c r="I129" s="10">
        <f>IF(OR($A129="",$D129="",$E129="",$G129="",$H129=""),"",MIN($C129,'القوائم'!$N$5)+IFERROR(VLOOKUP($D129,'القوائم'!$A$5:$B$8,2,FALSE),0)+IFERROR(VLOOKUP($E129,'القوائم'!$C$5:$D$7,2,FALSE),0)+IF($F129&gt;='القوائم'!$N$6,2,IF($F129&gt;0,1,0))+IFERROR(VLOOKUP($G129,'القوائم'!$E$5:$F$7,2,FALSE),0)+IFERROR(VLOOKUP($H129,'القوائم'!$G$5:$H$7,2,FALSE),0))</f>
        <v/>
      </c>
      <c r="J129" s="7" t="n"/>
      <c r="K129" s="5" t="n"/>
      <c r="L129" s="5" t="n"/>
      <c r="M129" s="5" t="n"/>
      <c r="N129" s="11">
        <f>IF($A129="","",IF(COUNTIFS('مقدّمو الطلبات'!$A$5:$A$204,$A129,'مقدّمو الطلبات'!$J$5:$J$204,"&lt;&gt;")=0,"",SUMPRODUCT(MAX(('مقدّمو الطلبات'!$A$5:$A$204=$A129)*'مقدّمو الطلبات'!$J$5:$J$204))))</f>
        <v/>
      </c>
      <c r="O129" s="6">
        <f>IF($A129="","",COUNTIFS('مقدّمو الطلبات'!$A$5:$A$204,$A129,'مقدّمو الطلبات'!$K$5:$K$204,"لا"))</f>
        <v/>
      </c>
      <c r="P129" s="12">
        <f>IF($A129="","",IF($C129=0,"بلا مقدّمي طلب",IF($J129="","بلا قرار",IF($O129&gt;0,"ردود مستحقة",IF(OR($J129="غير مخطط لها",$J129="أُطلقت"),"مغلق","مفتوح")))))</f>
        <v/>
      </c>
      <c r="Q129" s="5" t="n"/>
      <c r="R129">
        <f>IF(ISNUMBER($I129),$I129+(1000-ROW())/100000,"")</f>
        <v/>
      </c>
    </row>
    <row r="130">
      <c r="A130" s="4" t="n"/>
      <c r="B130" s="5" t="n"/>
      <c r="C130" s="6">
        <f>IF($A130="","",COUNTIF('مقدّمو الطلبات'!$A$5:$A$204,$A130))</f>
        <v/>
      </c>
      <c r="D130" s="7" t="n"/>
      <c r="E130" s="5" t="n"/>
      <c r="F130" s="8">
        <f>IF($A130="","",SUMIFS('مقدّمو الطلبات'!$F$5:$F$204,'مقدّمو الطلبات'!$A$5:$A$204,$A130,'مقدّمو الطلبات'!$G$5:$G$204,"نعم"))</f>
        <v/>
      </c>
      <c r="G130" s="9" t="n"/>
      <c r="H130" s="9" t="n"/>
      <c r="I130" s="10">
        <f>IF(OR($A130="",$D130="",$E130="",$G130="",$H130=""),"",MIN($C130,'القوائم'!$N$5)+IFERROR(VLOOKUP($D130,'القوائم'!$A$5:$B$8,2,FALSE),0)+IFERROR(VLOOKUP($E130,'القوائم'!$C$5:$D$7,2,FALSE),0)+IF($F130&gt;='القوائم'!$N$6,2,IF($F130&gt;0,1,0))+IFERROR(VLOOKUP($G130,'القوائم'!$E$5:$F$7,2,FALSE),0)+IFERROR(VLOOKUP($H130,'القوائم'!$G$5:$H$7,2,FALSE),0))</f>
        <v/>
      </c>
      <c r="J130" s="7" t="n"/>
      <c r="K130" s="5" t="n"/>
      <c r="L130" s="5" t="n"/>
      <c r="M130" s="5" t="n"/>
      <c r="N130" s="11">
        <f>IF($A130="","",IF(COUNTIFS('مقدّمو الطلبات'!$A$5:$A$204,$A130,'مقدّمو الطلبات'!$J$5:$J$204,"&lt;&gt;")=0,"",SUMPRODUCT(MAX(('مقدّمو الطلبات'!$A$5:$A$204=$A130)*'مقدّمو الطلبات'!$J$5:$J$204))))</f>
        <v/>
      </c>
      <c r="O130" s="6">
        <f>IF($A130="","",COUNTIFS('مقدّمو الطلبات'!$A$5:$A$204,$A130,'مقدّمو الطلبات'!$K$5:$K$204,"لا"))</f>
        <v/>
      </c>
      <c r="P130" s="12">
        <f>IF($A130="","",IF($C130=0,"بلا مقدّمي طلب",IF($J130="","بلا قرار",IF($O130&gt;0,"ردود مستحقة",IF(OR($J130="غير مخطط لها",$J130="أُطلقت"),"مغلق","مفتوح")))))</f>
        <v/>
      </c>
      <c r="Q130" s="5" t="n"/>
      <c r="R130">
        <f>IF(ISNUMBER($I130),$I130+(1000-ROW())/100000,"")</f>
        <v/>
      </c>
    </row>
    <row r="131">
      <c r="A131" s="4" t="n"/>
      <c r="B131" s="5" t="n"/>
      <c r="C131" s="6">
        <f>IF($A131="","",COUNTIF('مقدّمو الطلبات'!$A$5:$A$204,$A131))</f>
        <v/>
      </c>
      <c r="D131" s="7" t="n"/>
      <c r="E131" s="5" t="n"/>
      <c r="F131" s="8">
        <f>IF($A131="","",SUMIFS('مقدّمو الطلبات'!$F$5:$F$204,'مقدّمو الطلبات'!$A$5:$A$204,$A131,'مقدّمو الطلبات'!$G$5:$G$204,"نعم"))</f>
        <v/>
      </c>
      <c r="G131" s="9" t="n"/>
      <c r="H131" s="9" t="n"/>
      <c r="I131" s="10">
        <f>IF(OR($A131="",$D131="",$E131="",$G131="",$H131=""),"",MIN($C131,'القوائم'!$N$5)+IFERROR(VLOOKUP($D131,'القوائم'!$A$5:$B$8,2,FALSE),0)+IFERROR(VLOOKUP($E131,'القوائم'!$C$5:$D$7,2,FALSE),0)+IF($F131&gt;='القوائم'!$N$6,2,IF($F131&gt;0,1,0))+IFERROR(VLOOKUP($G131,'القوائم'!$E$5:$F$7,2,FALSE),0)+IFERROR(VLOOKUP($H131,'القوائم'!$G$5:$H$7,2,FALSE),0))</f>
        <v/>
      </c>
      <c r="J131" s="7" t="n"/>
      <c r="K131" s="5" t="n"/>
      <c r="L131" s="5" t="n"/>
      <c r="M131" s="5" t="n"/>
      <c r="N131" s="11">
        <f>IF($A131="","",IF(COUNTIFS('مقدّمو الطلبات'!$A$5:$A$204,$A131,'مقدّمو الطلبات'!$J$5:$J$204,"&lt;&gt;")=0,"",SUMPRODUCT(MAX(('مقدّمو الطلبات'!$A$5:$A$204=$A131)*'مقدّمو الطلبات'!$J$5:$J$204))))</f>
        <v/>
      </c>
      <c r="O131" s="6">
        <f>IF($A131="","",COUNTIFS('مقدّمو الطلبات'!$A$5:$A$204,$A131,'مقدّمو الطلبات'!$K$5:$K$204,"لا"))</f>
        <v/>
      </c>
      <c r="P131" s="12">
        <f>IF($A131="","",IF($C131=0,"بلا مقدّمي طلب",IF($J131="","بلا قرار",IF($O131&gt;0,"ردود مستحقة",IF(OR($J131="غير مخطط لها",$J131="أُطلقت"),"مغلق","مفتوح")))))</f>
        <v/>
      </c>
      <c r="Q131" s="5" t="n"/>
      <c r="R131">
        <f>IF(ISNUMBER($I131),$I131+(1000-ROW())/100000,"")</f>
        <v/>
      </c>
    </row>
    <row r="132">
      <c r="A132" s="4" t="n"/>
      <c r="B132" s="5" t="n"/>
      <c r="C132" s="6">
        <f>IF($A132="","",COUNTIF('مقدّمو الطلبات'!$A$5:$A$204,$A132))</f>
        <v/>
      </c>
      <c r="D132" s="7" t="n"/>
      <c r="E132" s="5" t="n"/>
      <c r="F132" s="8">
        <f>IF($A132="","",SUMIFS('مقدّمو الطلبات'!$F$5:$F$204,'مقدّمو الطلبات'!$A$5:$A$204,$A132,'مقدّمو الطلبات'!$G$5:$G$204,"نعم"))</f>
        <v/>
      </c>
      <c r="G132" s="9" t="n"/>
      <c r="H132" s="9" t="n"/>
      <c r="I132" s="10">
        <f>IF(OR($A132="",$D132="",$E132="",$G132="",$H132=""),"",MIN($C132,'القوائم'!$N$5)+IFERROR(VLOOKUP($D132,'القوائم'!$A$5:$B$8,2,FALSE),0)+IFERROR(VLOOKUP($E132,'القوائم'!$C$5:$D$7,2,FALSE),0)+IF($F132&gt;='القوائم'!$N$6,2,IF($F132&gt;0,1,0))+IFERROR(VLOOKUP($G132,'القوائم'!$E$5:$F$7,2,FALSE),0)+IFERROR(VLOOKUP($H132,'القوائم'!$G$5:$H$7,2,FALSE),0))</f>
        <v/>
      </c>
      <c r="J132" s="7" t="n"/>
      <c r="K132" s="5" t="n"/>
      <c r="L132" s="5" t="n"/>
      <c r="M132" s="5" t="n"/>
      <c r="N132" s="11">
        <f>IF($A132="","",IF(COUNTIFS('مقدّمو الطلبات'!$A$5:$A$204,$A132,'مقدّمو الطلبات'!$J$5:$J$204,"&lt;&gt;")=0,"",SUMPRODUCT(MAX(('مقدّمو الطلبات'!$A$5:$A$204=$A132)*'مقدّمو الطلبات'!$J$5:$J$204))))</f>
        <v/>
      </c>
      <c r="O132" s="6">
        <f>IF($A132="","",COUNTIFS('مقدّمو الطلبات'!$A$5:$A$204,$A132,'مقدّمو الطلبات'!$K$5:$K$204,"لا"))</f>
        <v/>
      </c>
      <c r="P132" s="12">
        <f>IF($A132="","",IF($C132=0,"بلا مقدّمي طلب",IF($J132="","بلا قرار",IF($O132&gt;0,"ردود مستحقة",IF(OR($J132="غير مخطط لها",$J132="أُطلقت"),"مغلق","مفتوح")))))</f>
        <v/>
      </c>
      <c r="Q132" s="5" t="n"/>
      <c r="R132">
        <f>IF(ISNUMBER($I132),$I132+(1000-ROW())/100000,"")</f>
        <v/>
      </c>
    </row>
    <row r="133">
      <c r="A133" s="4" t="n"/>
      <c r="B133" s="5" t="n"/>
      <c r="C133" s="6">
        <f>IF($A133="","",COUNTIF('مقدّمو الطلبات'!$A$5:$A$204,$A133))</f>
        <v/>
      </c>
      <c r="D133" s="7" t="n"/>
      <c r="E133" s="5" t="n"/>
      <c r="F133" s="8">
        <f>IF($A133="","",SUMIFS('مقدّمو الطلبات'!$F$5:$F$204,'مقدّمو الطلبات'!$A$5:$A$204,$A133,'مقدّمو الطلبات'!$G$5:$G$204,"نعم"))</f>
        <v/>
      </c>
      <c r="G133" s="9" t="n"/>
      <c r="H133" s="9" t="n"/>
      <c r="I133" s="10">
        <f>IF(OR($A133="",$D133="",$E133="",$G133="",$H133=""),"",MIN($C133,'القوائم'!$N$5)+IFERROR(VLOOKUP($D133,'القوائم'!$A$5:$B$8,2,FALSE),0)+IFERROR(VLOOKUP($E133,'القوائم'!$C$5:$D$7,2,FALSE),0)+IF($F133&gt;='القوائم'!$N$6,2,IF($F133&gt;0,1,0))+IFERROR(VLOOKUP($G133,'القوائم'!$E$5:$F$7,2,FALSE),0)+IFERROR(VLOOKUP($H133,'القوائم'!$G$5:$H$7,2,FALSE),0))</f>
        <v/>
      </c>
      <c r="J133" s="7" t="n"/>
      <c r="K133" s="5" t="n"/>
      <c r="L133" s="5" t="n"/>
      <c r="M133" s="5" t="n"/>
      <c r="N133" s="11">
        <f>IF($A133="","",IF(COUNTIFS('مقدّمو الطلبات'!$A$5:$A$204,$A133,'مقدّمو الطلبات'!$J$5:$J$204,"&lt;&gt;")=0,"",SUMPRODUCT(MAX(('مقدّمو الطلبات'!$A$5:$A$204=$A133)*'مقدّمو الطلبات'!$J$5:$J$204))))</f>
        <v/>
      </c>
      <c r="O133" s="6">
        <f>IF($A133="","",COUNTIFS('مقدّمو الطلبات'!$A$5:$A$204,$A133,'مقدّمو الطلبات'!$K$5:$K$204,"لا"))</f>
        <v/>
      </c>
      <c r="P133" s="12">
        <f>IF($A133="","",IF($C133=0,"بلا مقدّمي طلب",IF($J133="","بلا قرار",IF($O133&gt;0,"ردود مستحقة",IF(OR($J133="غير مخطط لها",$J133="أُطلقت"),"مغلق","مفتوح")))))</f>
        <v/>
      </c>
      <c r="Q133" s="5" t="n"/>
      <c r="R133">
        <f>IF(ISNUMBER($I133),$I133+(1000-ROW())/100000,"")</f>
        <v/>
      </c>
    </row>
    <row r="134">
      <c r="A134" s="4" t="n"/>
      <c r="B134" s="5" t="n"/>
      <c r="C134" s="6">
        <f>IF($A134="","",COUNTIF('مقدّمو الطلبات'!$A$5:$A$204,$A134))</f>
        <v/>
      </c>
      <c r="D134" s="7" t="n"/>
      <c r="E134" s="5" t="n"/>
      <c r="F134" s="8">
        <f>IF($A134="","",SUMIFS('مقدّمو الطلبات'!$F$5:$F$204,'مقدّمو الطلبات'!$A$5:$A$204,$A134,'مقدّمو الطلبات'!$G$5:$G$204,"نعم"))</f>
        <v/>
      </c>
      <c r="G134" s="9" t="n"/>
      <c r="H134" s="9" t="n"/>
      <c r="I134" s="10">
        <f>IF(OR($A134="",$D134="",$E134="",$G134="",$H134=""),"",MIN($C134,'القوائم'!$N$5)+IFERROR(VLOOKUP($D134,'القوائم'!$A$5:$B$8,2,FALSE),0)+IFERROR(VLOOKUP($E134,'القوائم'!$C$5:$D$7,2,FALSE),0)+IF($F134&gt;='القوائم'!$N$6,2,IF($F134&gt;0,1,0))+IFERROR(VLOOKUP($G134,'القوائم'!$E$5:$F$7,2,FALSE),0)+IFERROR(VLOOKUP($H134,'القوائم'!$G$5:$H$7,2,FALSE),0))</f>
        <v/>
      </c>
      <c r="J134" s="7" t="n"/>
      <c r="K134" s="5" t="n"/>
      <c r="L134" s="5" t="n"/>
      <c r="M134" s="5" t="n"/>
      <c r="N134" s="11">
        <f>IF($A134="","",IF(COUNTIFS('مقدّمو الطلبات'!$A$5:$A$204,$A134,'مقدّمو الطلبات'!$J$5:$J$204,"&lt;&gt;")=0,"",SUMPRODUCT(MAX(('مقدّمو الطلبات'!$A$5:$A$204=$A134)*'مقدّمو الطلبات'!$J$5:$J$204))))</f>
        <v/>
      </c>
      <c r="O134" s="6">
        <f>IF($A134="","",COUNTIFS('مقدّمو الطلبات'!$A$5:$A$204,$A134,'مقدّمو الطلبات'!$K$5:$K$204,"لا"))</f>
        <v/>
      </c>
      <c r="P134" s="12">
        <f>IF($A134="","",IF($C134=0,"بلا مقدّمي طلب",IF($J134="","بلا قرار",IF($O134&gt;0,"ردود مستحقة",IF(OR($J134="غير مخطط لها",$J134="أُطلقت"),"مغلق","مفتوح")))))</f>
        <v/>
      </c>
      <c r="Q134" s="5" t="n"/>
      <c r="R134">
        <f>IF(ISNUMBER($I134),$I134+(1000-ROW())/100000,"")</f>
        <v/>
      </c>
    </row>
    <row r="135">
      <c r="A135" s="4" t="n"/>
      <c r="B135" s="5" t="n"/>
      <c r="C135" s="6">
        <f>IF($A135="","",COUNTIF('مقدّمو الطلبات'!$A$5:$A$204,$A135))</f>
        <v/>
      </c>
      <c r="D135" s="7" t="n"/>
      <c r="E135" s="5" t="n"/>
      <c r="F135" s="8">
        <f>IF($A135="","",SUMIFS('مقدّمو الطلبات'!$F$5:$F$204,'مقدّمو الطلبات'!$A$5:$A$204,$A135,'مقدّمو الطلبات'!$G$5:$G$204,"نعم"))</f>
        <v/>
      </c>
      <c r="G135" s="9" t="n"/>
      <c r="H135" s="9" t="n"/>
      <c r="I135" s="10">
        <f>IF(OR($A135="",$D135="",$E135="",$G135="",$H135=""),"",MIN($C135,'القوائم'!$N$5)+IFERROR(VLOOKUP($D135,'القوائم'!$A$5:$B$8,2,FALSE),0)+IFERROR(VLOOKUP($E135,'القوائم'!$C$5:$D$7,2,FALSE),0)+IF($F135&gt;='القوائم'!$N$6,2,IF($F135&gt;0,1,0))+IFERROR(VLOOKUP($G135,'القوائم'!$E$5:$F$7,2,FALSE),0)+IFERROR(VLOOKUP($H135,'القوائم'!$G$5:$H$7,2,FALSE),0))</f>
        <v/>
      </c>
      <c r="J135" s="7" t="n"/>
      <c r="K135" s="5" t="n"/>
      <c r="L135" s="5" t="n"/>
      <c r="M135" s="5" t="n"/>
      <c r="N135" s="11">
        <f>IF($A135="","",IF(COUNTIFS('مقدّمو الطلبات'!$A$5:$A$204,$A135,'مقدّمو الطلبات'!$J$5:$J$204,"&lt;&gt;")=0,"",SUMPRODUCT(MAX(('مقدّمو الطلبات'!$A$5:$A$204=$A135)*'مقدّمو الطلبات'!$J$5:$J$204))))</f>
        <v/>
      </c>
      <c r="O135" s="6">
        <f>IF($A135="","",COUNTIFS('مقدّمو الطلبات'!$A$5:$A$204,$A135,'مقدّمو الطلبات'!$K$5:$K$204,"لا"))</f>
        <v/>
      </c>
      <c r="P135" s="12">
        <f>IF($A135="","",IF($C135=0,"بلا مقدّمي طلب",IF($J135="","بلا قرار",IF($O135&gt;0,"ردود مستحقة",IF(OR($J135="غير مخطط لها",$J135="أُطلقت"),"مغلق","مفتوح")))))</f>
        <v/>
      </c>
      <c r="Q135" s="5" t="n"/>
      <c r="R135">
        <f>IF(ISNUMBER($I135),$I135+(1000-ROW())/100000,"")</f>
        <v/>
      </c>
    </row>
    <row r="136">
      <c r="A136" s="4" t="n"/>
      <c r="B136" s="5" t="n"/>
      <c r="C136" s="6">
        <f>IF($A136="","",COUNTIF('مقدّمو الطلبات'!$A$5:$A$204,$A136))</f>
        <v/>
      </c>
      <c r="D136" s="7" t="n"/>
      <c r="E136" s="5" t="n"/>
      <c r="F136" s="8">
        <f>IF($A136="","",SUMIFS('مقدّمو الطلبات'!$F$5:$F$204,'مقدّمو الطلبات'!$A$5:$A$204,$A136,'مقدّمو الطلبات'!$G$5:$G$204,"نعم"))</f>
        <v/>
      </c>
      <c r="G136" s="9" t="n"/>
      <c r="H136" s="9" t="n"/>
      <c r="I136" s="10">
        <f>IF(OR($A136="",$D136="",$E136="",$G136="",$H136=""),"",MIN($C136,'القوائم'!$N$5)+IFERROR(VLOOKUP($D136,'القوائم'!$A$5:$B$8,2,FALSE),0)+IFERROR(VLOOKUP($E136,'القوائم'!$C$5:$D$7,2,FALSE),0)+IF($F136&gt;='القوائم'!$N$6,2,IF($F136&gt;0,1,0))+IFERROR(VLOOKUP($G136,'القوائم'!$E$5:$F$7,2,FALSE),0)+IFERROR(VLOOKUP($H136,'القوائم'!$G$5:$H$7,2,FALSE),0))</f>
        <v/>
      </c>
      <c r="J136" s="7" t="n"/>
      <c r="K136" s="5" t="n"/>
      <c r="L136" s="5" t="n"/>
      <c r="M136" s="5" t="n"/>
      <c r="N136" s="11">
        <f>IF($A136="","",IF(COUNTIFS('مقدّمو الطلبات'!$A$5:$A$204,$A136,'مقدّمو الطلبات'!$J$5:$J$204,"&lt;&gt;")=0,"",SUMPRODUCT(MAX(('مقدّمو الطلبات'!$A$5:$A$204=$A136)*'مقدّمو الطلبات'!$J$5:$J$204))))</f>
        <v/>
      </c>
      <c r="O136" s="6">
        <f>IF($A136="","",COUNTIFS('مقدّمو الطلبات'!$A$5:$A$204,$A136,'مقدّمو الطلبات'!$K$5:$K$204,"لا"))</f>
        <v/>
      </c>
      <c r="P136" s="12">
        <f>IF($A136="","",IF($C136=0,"بلا مقدّمي طلب",IF($J136="","بلا قرار",IF($O136&gt;0,"ردود مستحقة",IF(OR($J136="غير مخطط لها",$J136="أُطلقت"),"مغلق","مفتوح")))))</f>
        <v/>
      </c>
      <c r="Q136" s="5" t="n"/>
      <c r="R136">
        <f>IF(ISNUMBER($I136),$I136+(1000-ROW())/100000,"")</f>
        <v/>
      </c>
    </row>
    <row r="137">
      <c r="A137" s="4" t="n"/>
      <c r="B137" s="5" t="n"/>
      <c r="C137" s="6">
        <f>IF($A137="","",COUNTIF('مقدّمو الطلبات'!$A$5:$A$204,$A137))</f>
        <v/>
      </c>
      <c r="D137" s="7" t="n"/>
      <c r="E137" s="5" t="n"/>
      <c r="F137" s="8">
        <f>IF($A137="","",SUMIFS('مقدّمو الطلبات'!$F$5:$F$204,'مقدّمو الطلبات'!$A$5:$A$204,$A137,'مقدّمو الطلبات'!$G$5:$G$204,"نعم"))</f>
        <v/>
      </c>
      <c r="G137" s="9" t="n"/>
      <c r="H137" s="9" t="n"/>
      <c r="I137" s="10">
        <f>IF(OR($A137="",$D137="",$E137="",$G137="",$H137=""),"",MIN($C137,'القوائم'!$N$5)+IFERROR(VLOOKUP($D137,'القوائم'!$A$5:$B$8,2,FALSE),0)+IFERROR(VLOOKUP($E137,'القوائم'!$C$5:$D$7,2,FALSE),0)+IF($F137&gt;='القوائم'!$N$6,2,IF($F137&gt;0,1,0))+IFERROR(VLOOKUP($G137,'القوائم'!$E$5:$F$7,2,FALSE),0)+IFERROR(VLOOKUP($H137,'القوائم'!$G$5:$H$7,2,FALSE),0))</f>
        <v/>
      </c>
      <c r="J137" s="7" t="n"/>
      <c r="K137" s="5" t="n"/>
      <c r="L137" s="5" t="n"/>
      <c r="M137" s="5" t="n"/>
      <c r="N137" s="11">
        <f>IF($A137="","",IF(COUNTIFS('مقدّمو الطلبات'!$A$5:$A$204,$A137,'مقدّمو الطلبات'!$J$5:$J$204,"&lt;&gt;")=0,"",SUMPRODUCT(MAX(('مقدّمو الطلبات'!$A$5:$A$204=$A137)*'مقدّمو الطلبات'!$J$5:$J$204))))</f>
        <v/>
      </c>
      <c r="O137" s="6">
        <f>IF($A137="","",COUNTIFS('مقدّمو الطلبات'!$A$5:$A$204,$A137,'مقدّمو الطلبات'!$K$5:$K$204,"لا"))</f>
        <v/>
      </c>
      <c r="P137" s="12">
        <f>IF($A137="","",IF($C137=0,"بلا مقدّمي طلب",IF($J137="","بلا قرار",IF($O137&gt;0,"ردود مستحقة",IF(OR($J137="غير مخطط لها",$J137="أُطلقت"),"مغلق","مفتوح")))))</f>
        <v/>
      </c>
      <c r="Q137" s="5" t="n"/>
      <c r="R137">
        <f>IF(ISNUMBER($I137),$I137+(1000-ROW())/100000,"")</f>
        <v/>
      </c>
    </row>
    <row r="138">
      <c r="A138" s="4" t="n"/>
      <c r="B138" s="5" t="n"/>
      <c r="C138" s="6">
        <f>IF($A138="","",COUNTIF('مقدّمو الطلبات'!$A$5:$A$204,$A138))</f>
        <v/>
      </c>
      <c r="D138" s="7" t="n"/>
      <c r="E138" s="5" t="n"/>
      <c r="F138" s="8">
        <f>IF($A138="","",SUMIFS('مقدّمو الطلبات'!$F$5:$F$204,'مقدّمو الطلبات'!$A$5:$A$204,$A138,'مقدّمو الطلبات'!$G$5:$G$204,"نعم"))</f>
        <v/>
      </c>
      <c r="G138" s="9" t="n"/>
      <c r="H138" s="9" t="n"/>
      <c r="I138" s="10">
        <f>IF(OR($A138="",$D138="",$E138="",$G138="",$H138=""),"",MIN($C138,'القوائم'!$N$5)+IFERROR(VLOOKUP($D138,'القوائم'!$A$5:$B$8,2,FALSE),0)+IFERROR(VLOOKUP($E138,'القوائم'!$C$5:$D$7,2,FALSE),0)+IF($F138&gt;='القوائم'!$N$6,2,IF($F138&gt;0,1,0))+IFERROR(VLOOKUP($G138,'القوائم'!$E$5:$F$7,2,FALSE),0)+IFERROR(VLOOKUP($H138,'القوائم'!$G$5:$H$7,2,FALSE),0))</f>
        <v/>
      </c>
      <c r="J138" s="7" t="n"/>
      <c r="K138" s="5" t="n"/>
      <c r="L138" s="5" t="n"/>
      <c r="M138" s="5" t="n"/>
      <c r="N138" s="11">
        <f>IF($A138="","",IF(COUNTIFS('مقدّمو الطلبات'!$A$5:$A$204,$A138,'مقدّمو الطلبات'!$J$5:$J$204,"&lt;&gt;")=0,"",SUMPRODUCT(MAX(('مقدّمو الطلبات'!$A$5:$A$204=$A138)*'مقدّمو الطلبات'!$J$5:$J$204))))</f>
        <v/>
      </c>
      <c r="O138" s="6">
        <f>IF($A138="","",COUNTIFS('مقدّمو الطلبات'!$A$5:$A$204,$A138,'مقدّمو الطلبات'!$K$5:$K$204,"لا"))</f>
        <v/>
      </c>
      <c r="P138" s="12">
        <f>IF($A138="","",IF($C138=0,"بلا مقدّمي طلب",IF($J138="","بلا قرار",IF($O138&gt;0,"ردود مستحقة",IF(OR($J138="غير مخطط لها",$J138="أُطلقت"),"مغلق","مفتوح")))))</f>
        <v/>
      </c>
      <c r="Q138" s="5" t="n"/>
      <c r="R138">
        <f>IF(ISNUMBER($I138),$I138+(1000-ROW())/100000,"")</f>
        <v/>
      </c>
    </row>
    <row r="139">
      <c r="A139" s="4" t="n"/>
      <c r="B139" s="5" t="n"/>
      <c r="C139" s="6">
        <f>IF($A139="","",COUNTIF('مقدّمو الطلبات'!$A$5:$A$204,$A139))</f>
        <v/>
      </c>
      <c r="D139" s="7" t="n"/>
      <c r="E139" s="5" t="n"/>
      <c r="F139" s="8">
        <f>IF($A139="","",SUMIFS('مقدّمو الطلبات'!$F$5:$F$204,'مقدّمو الطلبات'!$A$5:$A$204,$A139,'مقدّمو الطلبات'!$G$5:$G$204,"نعم"))</f>
        <v/>
      </c>
      <c r="G139" s="9" t="n"/>
      <c r="H139" s="9" t="n"/>
      <c r="I139" s="10">
        <f>IF(OR($A139="",$D139="",$E139="",$G139="",$H139=""),"",MIN($C139,'القوائم'!$N$5)+IFERROR(VLOOKUP($D139,'القوائم'!$A$5:$B$8,2,FALSE),0)+IFERROR(VLOOKUP($E139,'القوائم'!$C$5:$D$7,2,FALSE),0)+IF($F139&gt;='القوائم'!$N$6,2,IF($F139&gt;0,1,0))+IFERROR(VLOOKUP($G139,'القوائم'!$E$5:$F$7,2,FALSE),0)+IFERROR(VLOOKUP($H139,'القوائم'!$G$5:$H$7,2,FALSE),0))</f>
        <v/>
      </c>
      <c r="J139" s="7" t="n"/>
      <c r="K139" s="5" t="n"/>
      <c r="L139" s="5" t="n"/>
      <c r="M139" s="5" t="n"/>
      <c r="N139" s="11">
        <f>IF($A139="","",IF(COUNTIFS('مقدّمو الطلبات'!$A$5:$A$204,$A139,'مقدّمو الطلبات'!$J$5:$J$204,"&lt;&gt;")=0,"",SUMPRODUCT(MAX(('مقدّمو الطلبات'!$A$5:$A$204=$A139)*'مقدّمو الطلبات'!$J$5:$J$204))))</f>
        <v/>
      </c>
      <c r="O139" s="6">
        <f>IF($A139="","",COUNTIFS('مقدّمو الطلبات'!$A$5:$A$204,$A139,'مقدّمو الطلبات'!$K$5:$K$204,"لا"))</f>
        <v/>
      </c>
      <c r="P139" s="12">
        <f>IF($A139="","",IF($C139=0,"بلا مقدّمي طلب",IF($J139="","بلا قرار",IF($O139&gt;0,"ردود مستحقة",IF(OR($J139="غير مخطط لها",$J139="أُطلقت"),"مغلق","مفتوح")))))</f>
        <v/>
      </c>
      <c r="Q139" s="5" t="n"/>
      <c r="R139">
        <f>IF(ISNUMBER($I139),$I139+(1000-ROW())/100000,"")</f>
        <v/>
      </c>
    </row>
    <row r="140">
      <c r="A140" s="4" t="n"/>
      <c r="B140" s="5" t="n"/>
      <c r="C140" s="6">
        <f>IF($A140="","",COUNTIF('مقدّمو الطلبات'!$A$5:$A$204,$A140))</f>
        <v/>
      </c>
      <c r="D140" s="7" t="n"/>
      <c r="E140" s="5" t="n"/>
      <c r="F140" s="8">
        <f>IF($A140="","",SUMIFS('مقدّمو الطلبات'!$F$5:$F$204,'مقدّمو الطلبات'!$A$5:$A$204,$A140,'مقدّمو الطلبات'!$G$5:$G$204,"نعم"))</f>
        <v/>
      </c>
      <c r="G140" s="9" t="n"/>
      <c r="H140" s="9" t="n"/>
      <c r="I140" s="10">
        <f>IF(OR($A140="",$D140="",$E140="",$G140="",$H140=""),"",MIN($C140,'القوائم'!$N$5)+IFERROR(VLOOKUP($D140,'القوائم'!$A$5:$B$8,2,FALSE),0)+IFERROR(VLOOKUP($E140,'القوائم'!$C$5:$D$7,2,FALSE),0)+IF($F140&gt;='القوائم'!$N$6,2,IF($F140&gt;0,1,0))+IFERROR(VLOOKUP($G140,'القوائم'!$E$5:$F$7,2,FALSE),0)+IFERROR(VLOOKUP($H140,'القوائم'!$G$5:$H$7,2,FALSE),0))</f>
        <v/>
      </c>
      <c r="J140" s="7" t="n"/>
      <c r="K140" s="5" t="n"/>
      <c r="L140" s="5" t="n"/>
      <c r="M140" s="5" t="n"/>
      <c r="N140" s="11">
        <f>IF($A140="","",IF(COUNTIFS('مقدّمو الطلبات'!$A$5:$A$204,$A140,'مقدّمو الطلبات'!$J$5:$J$204,"&lt;&gt;")=0,"",SUMPRODUCT(MAX(('مقدّمو الطلبات'!$A$5:$A$204=$A140)*'مقدّمو الطلبات'!$J$5:$J$204))))</f>
        <v/>
      </c>
      <c r="O140" s="6">
        <f>IF($A140="","",COUNTIFS('مقدّمو الطلبات'!$A$5:$A$204,$A140,'مقدّمو الطلبات'!$K$5:$K$204,"لا"))</f>
        <v/>
      </c>
      <c r="P140" s="12">
        <f>IF($A140="","",IF($C140=0,"بلا مقدّمي طلب",IF($J140="","بلا قرار",IF($O140&gt;0,"ردود مستحقة",IF(OR($J140="غير مخطط لها",$J140="أُطلقت"),"مغلق","مفتوح")))))</f>
        <v/>
      </c>
      <c r="Q140" s="5" t="n"/>
      <c r="R140">
        <f>IF(ISNUMBER($I140),$I140+(1000-ROW())/100000,"")</f>
        <v/>
      </c>
    </row>
    <row r="141">
      <c r="A141" s="4" t="n"/>
      <c r="B141" s="5" t="n"/>
      <c r="C141" s="6">
        <f>IF($A141="","",COUNTIF('مقدّمو الطلبات'!$A$5:$A$204,$A141))</f>
        <v/>
      </c>
      <c r="D141" s="7" t="n"/>
      <c r="E141" s="5" t="n"/>
      <c r="F141" s="8">
        <f>IF($A141="","",SUMIFS('مقدّمو الطلبات'!$F$5:$F$204,'مقدّمو الطلبات'!$A$5:$A$204,$A141,'مقدّمو الطلبات'!$G$5:$G$204,"نعم"))</f>
        <v/>
      </c>
      <c r="G141" s="9" t="n"/>
      <c r="H141" s="9" t="n"/>
      <c r="I141" s="10">
        <f>IF(OR($A141="",$D141="",$E141="",$G141="",$H141=""),"",MIN($C141,'القوائم'!$N$5)+IFERROR(VLOOKUP($D141,'القوائم'!$A$5:$B$8,2,FALSE),0)+IFERROR(VLOOKUP($E141,'القوائم'!$C$5:$D$7,2,FALSE),0)+IF($F141&gt;='القوائم'!$N$6,2,IF($F141&gt;0,1,0))+IFERROR(VLOOKUP($G141,'القوائم'!$E$5:$F$7,2,FALSE),0)+IFERROR(VLOOKUP($H141,'القوائم'!$G$5:$H$7,2,FALSE),0))</f>
        <v/>
      </c>
      <c r="J141" s="7" t="n"/>
      <c r="K141" s="5" t="n"/>
      <c r="L141" s="5" t="n"/>
      <c r="M141" s="5" t="n"/>
      <c r="N141" s="11">
        <f>IF($A141="","",IF(COUNTIFS('مقدّمو الطلبات'!$A$5:$A$204,$A141,'مقدّمو الطلبات'!$J$5:$J$204,"&lt;&gt;")=0,"",SUMPRODUCT(MAX(('مقدّمو الطلبات'!$A$5:$A$204=$A141)*'مقدّمو الطلبات'!$J$5:$J$204))))</f>
        <v/>
      </c>
      <c r="O141" s="6">
        <f>IF($A141="","",COUNTIFS('مقدّمو الطلبات'!$A$5:$A$204,$A141,'مقدّمو الطلبات'!$K$5:$K$204,"لا"))</f>
        <v/>
      </c>
      <c r="P141" s="12">
        <f>IF($A141="","",IF($C141=0,"بلا مقدّمي طلب",IF($J141="","بلا قرار",IF($O141&gt;0,"ردود مستحقة",IF(OR($J141="غير مخطط لها",$J141="أُطلقت"),"مغلق","مفتوح")))))</f>
        <v/>
      </c>
      <c r="Q141" s="5" t="n"/>
      <c r="R141">
        <f>IF(ISNUMBER($I141),$I141+(1000-ROW())/100000,"")</f>
        <v/>
      </c>
    </row>
    <row r="142">
      <c r="A142" s="4" t="n"/>
      <c r="B142" s="5" t="n"/>
      <c r="C142" s="6">
        <f>IF($A142="","",COUNTIF('مقدّمو الطلبات'!$A$5:$A$204,$A142))</f>
        <v/>
      </c>
      <c r="D142" s="7" t="n"/>
      <c r="E142" s="5" t="n"/>
      <c r="F142" s="8">
        <f>IF($A142="","",SUMIFS('مقدّمو الطلبات'!$F$5:$F$204,'مقدّمو الطلبات'!$A$5:$A$204,$A142,'مقدّمو الطلبات'!$G$5:$G$204,"نعم"))</f>
        <v/>
      </c>
      <c r="G142" s="9" t="n"/>
      <c r="H142" s="9" t="n"/>
      <c r="I142" s="10">
        <f>IF(OR($A142="",$D142="",$E142="",$G142="",$H142=""),"",MIN($C142,'القوائم'!$N$5)+IFERROR(VLOOKUP($D142,'القوائم'!$A$5:$B$8,2,FALSE),0)+IFERROR(VLOOKUP($E142,'القوائم'!$C$5:$D$7,2,FALSE),0)+IF($F142&gt;='القوائم'!$N$6,2,IF($F142&gt;0,1,0))+IFERROR(VLOOKUP($G142,'القوائم'!$E$5:$F$7,2,FALSE),0)+IFERROR(VLOOKUP($H142,'القوائم'!$G$5:$H$7,2,FALSE),0))</f>
        <v/>
      </c>
      <c r="J142" s="7" t="n"/>
      <c r="K142" s="5" t="n"/>
      <c r="L142" s="5" t="n"/>
      <c r="M142" s="5" t="n"/>
      <c r="N142" s="11">
        <f>IF($A142="","",IF(COUNTIFS('مقدّمو الطلبات'!$A$5:$A$204,$A142,'مقدّمو الطلبات'!$J$5:$J$204,"&lt;&gt;")=0,"",SUMPRODUCT(MAX(('مقدّمو الطلبات'!$A$5:$A$204=$A142)*'مقدّمو الطلبات'!$J$5:$J$204))))</f>
        <v/>
      </c>
      <c r="O142" s="6">
        <f>IF($A142="","",COUNTIFS('مقدّمو الطلبات'!$A$5:$A$204,$A142,'مقدّمو الطلبات'!$K$5:$K$204,"لا"))</f>
        <v/>
      </c>
      <c r="P142" s="12">
        <f>IF($A142="","",IF($C142=0,"بلا مقدّمي طلب",IF($J142="","بلا قرار",IF($O142&gt;0,"ردود مستحقة",IF(OR($J142="غير مخطط لها",$J142="أُطلقت"),"مغلق","مفتوح")))))</f>
        <v/>
      </c>
      <c r="Q142" s="5" t="n"/>
      <c r="R142">
        <f>IF(ISNUMBER($I142),$I142+(1000-ROW())/100000,"")</f>
        <v/>
      </c>
    </row>
    <row r="143">
      <c r="A143" s="4" t="n"/>
      <c r="B143" s="5" t="n"/>
      <c r="C143" s="6">
        <f>IF($A143="","",COUNTIF('مقدّمو الطلبات'!$A$5:$A$204,$A143))</f>
        <v/>
      </c>
      <c r="D143" s="7" t="n"/>
      <c r="E143" s="5" t="n"/>
      <c r="F143" s="8">
        <f>IF($A143="","",SUMIFS('مقدّمو الطلبات'!$F$5:$F$204,'مقدّمو الطلبات'!$A$5:$A$204,$A143,'مقدّمو الطلبات'!$G$5:$G$204,"نعم"))</f>
        <v/>
      </c>
      <c r="G143" s="9" t="n"/>
      <c r="H143" s="9" t="n"/>
      <c r="I143" s="10">
        <f>IF(OR($A143="",$D143="",$E143="",$G143="",$H143=""),"",MIN($C143,'القوائم'!$N$5)+IFERROR(VLOOKUP($D143,'القوائم'!$A$5:$B$8,2,FALSE),0)+IFERROR(VLOOKUP($E143,'القوائم'!$C$5:$D$7,2,FALSE),0)+IF($F143&gt;='القوائم'!$N$6,2,IF($F143&gt;0,1,0))+IFERROR(VLOOKUP($G143,'القوائم'!$E$5:$F$7,2,FALSE),0)+IFERROR(VLOOKUP($H143,'القوائم'!$G$5:$H$7,2,FALSE),0))</f>
        <v/>
      </c>
      <c r="J143" s="7" t="n"/>
      <c r="K143" s="5" t="n"/>
      <c r="L143" s="5" t="n"/>
      <c r="M143" s="5" t="n"/>
      <c r="N143" s="11">
        <f>IF($A143="","",IF(COUNTIFS('مقدّمو الطلبات'!$A$5:$A$204,$A143,'مقدّمو الطلبات'!$J$5:$J$204,"&lt;&gt;")=0,"",SUMPRODUCT(MAX(('مقدّمو الطلبات'!$A$5:$A$204=$A143)*'مقدّمو الطلبات'!$J$5:$J$204))))</f>
        <v/>
      </c>
      <c r="O143" s="6">
        <f>IF($A143="","",COUNTIFS('مقدّمو الطلبات'!$A$5:$A$204,$A143,'مقدّمو الطلبات'!$K$5:$K$204,"لا"))</f>
        <v/>
      </c>
      <c r="P143" s="12">
        <f>IF($A143="","",IF($C143=0,"بلا مقدّمي طلب",IF($J143="","بلا قرار",IF($O143&gt;0,"ردود مستحقة",IF(OR($J143="غير مخطط لها",$J143="أُطلقت"),"مغلق","مفتوح")))))</f>
        <v/>
      </c>
      <c r="Q143" s="5" t="n"/>
      <c r="R143">
        <f>IF(ISNUMBER($I143),$I143+(1000-ROW())/100000,"")</f>
        <v/>
      </c>
    </row>
    <row r="144">
      <c r="A144" s="4" t="n"/>
      <c r="B144" s="5" t="n"/>
      <c r="C144" s="6">
        <f>IF($A144="","",COUNTIF('مقدّمو الطلبات'!$A$5:$A$204,$A144))</f>
        <v/>
      </c>
      <c r="D144" s="7" t="n"/>
      <c r="E144" s="5" t="n"/>
      <c r="F144" s="8">
        <f>IF($A144="","",SUMIFS('مقدّمو الطلبات'!$F$5:$F$204,'مقدّمو الطلبات'!$A$5:$A$204,$A144,'مقدّمو الطلبات'!$G$5:$G$204,"نعم"))</f>
        <v/>
      </c>
      <c r="G144" s="9" t="n"/>
      <c r="H144" s="9" t="n"/>
      <c r="I144" s="10">
        <f>IF(OR($A144="",$D144="",$E144="",$G144="",$H144=""),"",MIN($C144,'القوائم'!$N$5)+IFERROR(VLOOKUP($D144,'القوائم'!$A$5:$B$8,2,FALSE),0)+IFERROR(VLOOKUP($E144,'القوائم'!$C$5:$D$7,2,FALSE),0)+IF($F144&gt;='القوائم'!$N$6,2,IF($F144&gt;0,1,0))+IFERROR(VLOOKUP($G144,'القوائم'!$E$5:$F$7,2,FALSE),0)+IFERROR(VLOOKUP($H144,'القوائم'!$G$5:$H$7,2,FALSE),0))</f>
        <v/>
      </c>
      <c r="J144" s="7" t="n"/>
      <c r="K144" s="5" t="n"/>
      <c r="L144" s="5" t="n"/>
      <c r="M144" s="5" t="n"/>
      <c r="N144" s="11">
        <f>IF($A144="","",IF(COUNTIFS('مقدّمو الطلبات'!$A$5:$A$204,$A144,'مقدّمو الطلبات'!$J$5:$J$204,"&lt;&gt;")=0,"",SUMPRODUCT(MAX(('مقدّمو الطلبات'!$A$5:$A$204=$A144)*'مقدّمو الطلبات'!$J$5:$J$204))))</f>
        <v/>
      </c>
      <c r="O144" s="6">
        <f>IF($A144="","",COUNTIFS('مقدّمو الطلبات'!$A$5:$A$204,$A144,'مقدّمو الطلبات'!$K$5:$K$204,"لا"))</f>
        <v/>
      </c>
      <c r="P144" s="12">
        <f>IF($A144="","",IF($C144=0,"بلا مقدّمي طلب",IF($J144="","بلا قرار",IF($O144&gt;0,"ردود مستحقة",IF(OR($J144="غير مخطط لها",$J144="أُطلقت"),"مغلق","مفتوح")))))</f>
        <v/>
      </c>
      <c r="Q144" s="5" t="n"/>
      <c r="R144">
        <f>IF(ISNUMBER($I144),$I144+(1000-ROW())/100000,"")</f>
        <v/>
      </c>
    </row>
    <row r="145">
      <c r="A145" s="4" t="n"/>
      <c r="B145" s="5" t="n"/>
      <c r="C145" s="6">
        <f>IF($A145="","",COUNTIF('مقدّمو الطلبات'!$A$5:$A$204,$A145))</f>
        <v/>
      </c>
      <c r="D145" s="7" t="n"/>
      <c r="E145" s="5" t="n"/>
      <c r="F145" s="8">
        <f>IF($A145="","",SUMIFS('مقدّمو الطلبات'!$F$5:$F$204,'مقدّمو الطلبات'!$A$5:$A$204,$A145,'مقدّمو الطلبات'!$G$5:$G$204,"نعم"))</f>
        <v/>
      </c>
      <c r="G145" s="9" t="n"/>
      <c r="H145" s="9" t="n"/>
      <c r="I145" s="10">
        <f>IF(OR($A145="",$D145="",$E145="",$G145="",$H145=""),"",MIN($C145,'القوائم'!$N$5)+IFERROR(VLOOKUP($D145,'القوائم'!$A$5:$B$8,2,FALSE),0)+IFERROR(VLOOKUP($E145,'القوائم'!$C$5:$D$7,2,FALSE),0)+IF($F145&gt;='القوائم'!$N$6,2,IF($F145&gt;0,1,0))+IFERROR(VLOOKUP($G145,'القوائم'!$E$5:$F$7,2,FALSE),0)+IFERROR(VLOOKUP($H145,'القوائم'!$G$5:$H$7,2,FALSE),0))</f>
        <v/>
      </c>
      <c r="J145" s="7" t="n"/>
      <c r="K145" s="5" t="n"/>
      <c r="L145" s="5" t="n"/>
      <c r="M145" s="5" t="n"/>
      <c r="N145" s="11">
        <f>IF($A145="","",IF(COUNTIFS('مقدّمو الطلبات'!$A$5:$A$204,$A145,'مقدّمو الطلبات'!$J$5:$J$204,"&lt;&gt;")=0,"",SUMPRODUCT(MAX(('مقدّمو الطلبات'!$A$5:$A$204=$A145)*'مقدّمو الطلبات'!$J$5:$J$204))))</f>
        <v/>
      </c>
      <c r="O145" s="6">
        <f>IF($A145="","",COUNTIFS('مقدّمو الطلبات'!$A$5:$A$204,$A145,'مقدّمو الطلبات'!$K$5:$K$204,"لا"))</f>
        <v/>
      </c>
      <c r="P145" s="12">
        <f>IF($A145="","",IF($C145=0,"بلا مقدّمي طلب",IF($J145="","بلا قرار",IF($O145&gt;0,"ردود مستحقة",IF(OR($J145="غير مخطط لها",$J145="أُطلقت"),"مغلق","مفتوح")))))</f>
        <v/>
      </c>
      <c r="Q145" s="5" t="n"/>
      <c r="R145">
        <f>IF(ISNUMBER($I145),$I145+(1000-ROW())/100000,"")</f>
        <v/>
      </c>
    </row>
    <row r="146">
      <c r="A146" s="4" t="n"/>
      <c r="B146" s="5" t="n"/>
      <c r="C146" s="6">
        <f>IF($A146="","",COUNTIF('مقدّمو الطلبات'!$A$5:$A$204,$A146))</f>
        <v/>
      </c>
      <c r="D146" s="7" t="n"/>
      <c r="E146" s="5" t="n"/>
      <c r="F146" s="8">
        <f>IF($A146="","",SUMIFS('مقدّمو الطلبات'!$F$5:$F$204,'مقدّمو الطلبات'!$A$5:$A$204,$A146,'مقدّمو الطلبات'!$G$5:$G$204,"نعم"))</f>
        <v/>
      </c>
      <c r="G146" s="9" t="n"/>
      <c r="H146" s="9" t="n"/>
      <c r="I146" s="10">
        <f>IF(OR($A146="",$D146="",$E146="",$G146="",$H146=""),"",MIN($C146,'القوائم'!$N$5)+IFERROR(VLOOKUP($D146,'القوائم'!$A$5:$B$8,2,FALSE),0)+IFERROR(VLOOKUP($E146,'القوائم'!$C$5:$D$7,2,FALSE),0)+IF($F146&gt;='القوائم'!$N$6,2,IF($F146&gt;0,1,0))+IFERROR(VLOOKUP($G146,'القوائم'!$E$5:$F$7,2,FALSE),0)+IFERROR(VLOOKUP($H146,'القوائم'!$G$5:$H$7,2,FALSE),0))</f>
        <v/>
      </c>
      <c r="J146" s="7" t="n"/>
      <c r="K146" s="5" t="n"/>
      <c r="L146" s="5" t="n"/>
      <c r="M146" s="5" t="n"/>
      <c r="N146" s="11">
        <f>IF($A146="","",IF(COUNTIFS('مقدّمو الطلبات'!$A$5:$A$204,$A146,'مقدّمو الطلبات'!$J$5:$J$204,"&lt;&gt;")=0,"",SUMPRODUCT(MAX(('مقدّمو الطلبات'!$A$5:$A$204=$A146)*'مقدّمو الطلبات'!$J$5:$J$204))))</f>
        <v/>
      </c>
      <c r="O146" s="6">
        <f>IF($A146="","",COUNTIFS('مقدّمو الطلبات'!$A$5:$A$204,$A146,'مقدّمو الطلبات'!$K$5:$K$204,"لا"))</f>
        <v/>
      </c>
      <c r="P146" s="12">
        <f>IF($A146="","",IF($C146=0,"بلا مقدّمي طلب",IF($J146="","بلا قرار",IF($O146&gt;0,"ردود مستحقة",IF(OR($J146="غير مخطط لها",$J146="أُطلقت"),"مغلق","مفتوح")))))</f>
        <v/>
      </c>
      <c r="Q146" s="5" t="n"/>
      <c r="R146">
        <f>IF(ISNUMBER($I146),$I146+(1000-ROW())/100000,"")</f>
        <v/>
      </c>
    </row>
    <row r="147">
      <c r="A147" s="4" t="n"/>
      <c r="B147" s="5" t="n"/>
      <c r="C147" s="6">
        <f>IF($A147="","",COUNTIF('مقدّمو الطلبات'!$A$5:$A$204,$A147))</f>
        <v/>
      </c>
      <c r="D147" s="7" t="n"/>
      <c r="E147" s="5" t="n"/>
      <c r="F147" s="8">
        <f>IF($A147="","",SUMIFS('مقدّمو الطلبات'!$F$5:$F$204,'مقدّمو الطلبات'!$A$5:$A$204,$A147,'مقدّمو الطلبات'!$G$5:$G$204,"نعم"))</f>
        <v/>
      </c>
      <c r="G147" s="9" t="n"/>
      <c r="H147" s="9" t="n"/>
      <c r="I147" s="10">
        <f>IF(OR($A147="",$D147="",$E147="",$G147="",$H147=""),"",MIN($C147,'القوائم'!$N$5)+IFERROR(VLOOKUP($D147,'القوائم'!$A$5:$B$8,2,FALSE),0)+IFERROR(VLOOKUP($E147,'القوائم'!$C$5:$D$7,2,FALSE),0)+IF($F147&gt;='القوائم'!$N$6,2,IF($F147&gt;0,1,0))+IFERROR(VLOOKUP($G147,'القوائم'!$E$5:$F$7,2,FALSE),0)+IFERROR(VLOOKUP($H147,'القوائم'!$G$5:$H$7,2,FALSE),0))</f>
        <v/>
      </c>
      <c r="J147" s="7" t="n"/>
      <c r="K147" s="5" t="n"/>
      <c r="L147" s="5" t="n"/>
      <c r="M147" s="5" t="n"/>
      <c r="N147" s="11">
        <f>IF($A147="","",IF(COUNTIFS('مقدّمو الطلبات'!$A$5:$A$204,$A147,'مقدّمو الطلبات'!$J$5:$J$204,"&lt;&gt;")=0,"",SUMPRODUCT(MAX(('مقدّمو الطلبات'!$A$5:$A$204=$A147)*'مقدّمو الطلبات'!$J$5:$J$204))))</f>
        <v/>
      </c>
      <c r="O147" s="6">
        <f>IF($A147="","",COUNTIFS('مقدّمو الطلبات'!$A$5:$A$204,$A147,'مقدّمو الطلبات'!$K$5:$K$204,"لا"))</f>
        <v/>
      </c>
      <c r="P147" s="12">
        <f>IF($A147="","",IF($C147=0,"بلا مقدّمي طلب",IF($J147="","بلا قرار",IF($O147&gt;0,"ردود مستحقة",IF(OR($J147="غير مخطط لها",$J147="أُطلقت"),"مغلق","مفتوح")))))</f>
        <v/>
      </c>
      <c r="Q147" s="5" t="n"/>
      <c r="R147">
        <f>IF(ISNUMBER($I147),$I147+(1000-ROW())/100000,"")</f>
        <v/>
      </c>
    </row>
    <row r="148">
      <c r="A148" s="4" t="n"/>
      <c r="B148" s="5" t="n"/>
      <c r="C148" s="6">
        <f>IF($A148="","",COUNTIF('مقدّمو الطلبات'!$A$5:$A$204,$A148))</f>
        <v/>
      </c>
      <c r="D148" s="7" t="n"/>
      <c r="E148" s="5" t="n"/>
      <c r="F148" s="8">
        <f>IF($A148="","",SUMIFS('مقدّمو الطلبات'!$F$5:$F$204,'مقدّمو الطلبات'!$A$5:$A$204,$A148,'مقدّمو الطلبات'!$G$5:$G$204,"نعم"))</f>
        <v/>
      </c>
      <c r="G148" s="9" t="n"/>
      <c r="H148" s="9" t="n"/>
      <c r="I148" s="10">
        <f>IF(OR($A148="",$D148="",$E148="",$G148="",$H148=""),"",MIN($C148,'القوائم'!$N$5)+IFERROR(VLOOKUP($D148,'القوائم'!$A$5:$B$8,2,FALSE),0)+IFERROR(VLOOKUP($E148,'القوائم'!$C$5:$D$7,2,FALSE),0)+IF($F148&gt;='القوائم'!$N$6,2,IF($F148&gt;0,1,0))+IFERROR(VLOOKUP($G148,'القوائم'!$E$5:$F$7,2,FALSE),0)+IFERROR(VLOOKUP($H148,'القوائم'!$G$5:$H$7,2,FALSE),0))</f>
        <v/>
      </c>
      <c r="J148" s="7" t="n"/>
      <c r="K148" s="5" t="n"/>
      <c r="L148" s="5" t="n"/>
      <c r="M148" s="5" t="n"/>
      <c r="N148" s="11">
        <f>IF($A148="","",IF(COUNTIFS('مقدّمو الطلبات'!$A$5:$A$204,$A148,'مقدّمو الطلبات'!$J$5:$J$204,"&lt;&gt;")=0,"",SUMPRODUCT(MAX(('مقدّمو الطلبات'!$A$5:$A$204=$A148)*'مقدّمو الطلبات'!$J$5:$J$204))))</f>
        <v/>
      </c>
      <c r="O148" s="6">
        <f>IF($A148="","",COUNTIFS('مقدّمو الطلبات'!$A$5:$A$204,$A148,'مقدّمو الطلبات'!$K$5:$K$204,"لا"))</f>
        <v/>
      </c>
      <c r="P148" s="12">
        <f>IF($A148="","",IF($C148=0,"بلا مقدّمي طلب",IF($J148="","بلا قرار",IF($O148&gt;0,"ردود مستحقة",IF(OR($J148="غير مخطط لها",$J148="أُطلقت"),"مغلق","مفتوح")))))</f>
        <v/>
      </c>
      <c r="Q148" s="5" t="n"/>
      <c r="R148">
        <f>IF(ISNUMBER($I148),$I148+(1000-ROW())/100000,"")</f>
        <v/>
      </c>
    </row>
    <row r="149">
      <c r="A149" s="4" t="n"/>
      <c r="B149" s="5" t="n"/>
      <c r="C149" s="6">
        <f>IF($A149="","",COUNTIF('مقدّمو الطلبات'!$A$5:$A$204,$A149))</f>
        <v/>
      </c>
      <c r="D149" s="7" t="n"/>
      <c r="E149" s="5" t="n"/>
      <c r="F149" s="8">
        <f>IF($A149="","",SUMIFS('مقدّمو الطلبات'!$F$5:$F$204,'مقدّمو الطلبات'!$A$5:$A$204,$A149,'مقدّمو الطلبات'!$G$5:$G$204,"نعم"))</f>
        <v/>
      </c>
      <c r="G149" s="9" t="n"/>
      <c r="H149" s="9" t="n"/>
      <c r="I149" s="10">
        <f>IF(OR($A149="",$D149="",$E149="",$G149="",$H149=""),"",MIN($C149,'القوائم'!$N$5)+IFERROR(VLOOKUP($D149,'القوائم'!$A$5:$B$8,2,FALSE),0)+IFERROR(VLOOKUP($E149,'القوائم'!$C$5:$D$7,2,FALSE),0)+IF($F149&gt;='القوائم'!$N$6,2,IF($F149&gt;0,1,0))+IFERROR(VLOOKUP($G149,'القوائم'!$E$5:$F$7,2,FALSE),0)+IFERROR(VLOOKUP($H149,'القوائم'!$G$5:$H$7,2,FALSE),0))</f>
        <v/>
      </c>
      <c r="J149" s="7" t="n"/>
      <c r="K149" s="5" t="n"/>
      <c r="L149" s="5" t="n"/>
      <c r="M149" s="5" t="n"/>
      <c r="N149" s="11">
        <f>IF($A149="","",IF(COUNTIFS('مقدّمو الطلبات'!$A$5:$A$204,$A149,'مقدّمو الطلبات'!$J$5:$J$204,"&lt;&gt;")=0,"",SUMPRODUCT(MAX(('مقدّمو الطلبات'!$A$5:$A$204=$A149)*'مقدّمو الطلبات'!$J$5:$J$204))))</f>
        <v/>
      </c>
      <c r="O149" s="6">
        <f>IF($A149="","",COUNTIFS('مقدّمو الطلبات'!$A$5:$A$204,$A149,'مقدّمو الطلبات'!$K$5:$K$204,"لا"))</f>
        <v/>
      </c>
      <c r="P149" s="12">
        <f>IF($A149="","",IF($C149=0,"بلا مقدّمي طلب",IF($J149="","بلا قرار",IF($O149&gt;0,"ردود مستحقة",IF(OR($J149="غير مخطط لها",$J149="أُطلقت"),"مغلق","مفتوح")))))</f>
        <v/>
      </c>
      <c r="Q149" s="5" t="n"/>
      <c r="R149">
        <f>IF(ISNUMBER($I149),$I149+(1000-ROW())/100000,"")</f>
        <v/>
      </c>
    </row>
    <row r="150">
      <c r="A150" s="4" t="n"/>
      <c r="B150" s="5" t="n"/>
      <c r="C150" s="6">
        <f>IF($A150="","",COUNTIF('مقدّمو الطلبات'!$A$5:$A$204,$A150))</f>
        <v/>
      </c>
      <c r="D150" s="7" t="n"/>
      <c r="E150" s="5" t="n"/>
      <c r="F150" s="8">
        <f>IF($A150="","",SUMIFS('مقدّمو الطلبات'!$F$5:$F$204,'مقدّمو الطلبات'!$A$5:$A$204,$A150,'مقدّمو الطلبات'!$G$5:$G$204,"نعم"))</f>
        <v/>
      </c>
      <c r="G150" s="9" t="n"/>
      <c r="H150" s="9" t="n"/>
      <c r="I150" s="10">
        <f>IF(OR($A150="",$D150="",$E150="",$G150="",$H150=""),"",MIN($C150,'القوائم'!$N$5)+IFERROR(VLOOKUP($D150,'القوائم'!$A$5:$B$8,2,FALSE),0)+IFERROR(VLOOKUP($E150,'القوائم'!$C$5:$D$7,2,FALSE),0)+IF($F150&gt;='القوائم'!$N$6,2,IF($F150&gt;0,1,0))+IFERROR(VLOOKUP($G150,'القوائم'!$E$5:$F$7,2,FALSE),0)+IFERROR(VLOOKUP($H150,'القوائم'!$G$5:$H$7,2,FALSE),0))</f>
        <v/>
      </c>
      <c r="J150" s="7" t="n"/>
      <c r="K150" s="5" t="n"/>
      <c r="L150" s="5" t="n"/>
      <c r="M150" s="5" t="n"/>
      <c r="N150" s="11">
        <f>IF($A150="","",IF(COUNTIFS('مقدّمو الطلبات'!$A$5:$A$204,$A150,'مقدّمو الطلبات'!$J$5:$J$204,"&lt;&gt;")=0,"",SUMPRODUCT(MAX(('مقدّمو الطلبات'!$A$5:$A$204=$A150)*'مقدّمو الطلبات'!$J$5:$J$204))))</f>
        <v/>
      </c>
      <c r="O150" s="6">
        <f>IF($A150="","",COUNTIFS('مقدّمو الطلبات'!$A$5:$A$204,$A150,'مقدّمو الطلبات'!$K$5:$K$204,"لا"))</f>
        <v/>
      </c>
      <c r="P150" s="12">
        <f>IF($A150="","",IF($C150=0,"بلا مقدّمي طلب",IF($J150="","بلا قرار",IF($O150&gt;0,"ردود مستحقة",IF(OR($J150="غير مخطط لها",$J150="أُطلقت"),"مغلق","مفتوح")))))</f>
        <v/>
      </c>
      <c r="Q150" s="5" t="n"/>
      <c r="R150">
        <f>IF(ISNUMBER($I150),$I150+(1000-ROW())/100000,"")</f>
        <v/>
      </c>
    </row>
    <row r="151">
      <c r="A151" s="4" t="n"/>
      <c r="B151" s="5" t="n"/>
      <c r="C151" s="6">
        <f>IF($A151="","",COUNTIF('مقدّمو الطلبات'!$A$5:$A$204,$A151))</f>
        <v/>
      </c>
      <c r="D151" s="7" t="n"/>
      <c r="E151" s="5" t="n"/>
      <c r="F151" s="8">
        <f>IF($A151="","",SUMIFS('مقدّمو الطلبات'!$F$5:$F$204,'مقدّمو الطلبات'!$A$5:$A$204,$A151,'مقدّمو الطلبات'!$G$5:$G$204,"نعم"))</f>
        <v/>
      </c>
      <c r="G151" s="9" t="n"/>
      <c r="H151" s="9" t="n"/>
      <c r="I151" s="10">
        <f>IF(OR($A151="",$D151="",$E151="",$G151="",$H151=""),"",MIN($C151,'القوائم'!$N$5)+IFERROR(VLOOKUP($D151,'القوائم'!$A$5:$B$8,2,FALSE),0)+IFERROR(VLOOKUP($E151,'القوائم'!$C$5:$D$7,2,FALSE),0)+IF($F151&gt;='القوائم'!$N$6,2,IF($F151&gt;0,1,0))+IFERROR(VLOOKUP($G151,'القوائم'!$E$5:$F$7,2,FALSE),0)+IFERROR(VLOOKUP($H151,'القوائم'!$G$5:$H$7,2,FALSE),0))</f>
        <v/>
      </c>
      <c r="J151" s="7" t="n"/>
      <c r="K151" s="5" t="n"/>
      <c r="L151" s="5" t="n"/>
      <c r="M151" s="5" t="n"/>
      <c r="N151" s="11">
        <f>IF($A151="","",IF(COUNTIFS('مقدّمو الطلبات'!$A$5:$A$204,$A151,'مقدّمو الطلبات'!$J$5:$J$204,"&lt;&gt;")=0,"",SUMPRODUCT(MAX(('مقدّمو الطلبات'!$A$5:$A$204=$A151)*'مقدّمو الطلبات'!$J$5:$J$204))))</f>
        <v/>
      </c>
      <c r="O151" s="6">
        <f>IF($A151="","",COUNTIFS('مقدّمو الطلبات'!$A$5:$A$204,$A151,'مقدّمو الطلبات'!$K$5:$K$204,"لا"))</f>
        <v/>
      </c>
      <c r="P151" s="12">
        <f>IF($A151="","",IF($C151=0,"بلا مقدّمي طلب",IF($J151="","بلا قرار",IF($O151&gt;0,"ردود مستحقة",IF(OR($J151="غير مخطط لها",$J151="أُطلقت"),"مغلق","مفتوح")))))</f>
        <v/>
      </c>
      <c r="Q151" s="5" t="n"/>
      <c r="R151">
        <f>IF(ISNUMBER($I151),$I151+(1000-ROW())/100000,"")</f>
        <v/>
      </c>
    </row>
    <row r="152">
      <c r="A152" s="4" t="n"/>
      <c r="B152" s="5" t="n"/>
      <c r="C152" s="6">
        <f>IF($A152="","",COUNTIF('مقدّمو الطلبات'!$A$5:$A$204,$A152))</f>
        <v/>
      </c>
      <c r="D152" s="7" t="n"/>
      <c r="E152" s="5" t="n"/>
      <c r="F152" s="8">
        <f>IF($A152="","",SUMIFS('مقدّمو الطلبات'!$F$5:$F$204,'مقدّمو الطلبات'!$A$5:$A$204,$A152,'مقدّمو الطلبات'!$G$5:$G$204,"نعم"))</f>
        <v/>
      </c>
      <c r="G152" s="9" t="n"/>
      <c r="H152" s="9" t="n"/>
      <c r="I152" s="10">
        <f>IF(OR($A152="",$D152="",$E152="",$G152="",$H152=""),"",MIN($C152,'القوائم'!$N$5)+IFERROR(VLOOKUP($D152,'القوائم'!$A$5:$B$8,2,FALSE),0)+IFERROR(VLOOKUP($E152,'القوائم'!$C$5:$D$7,2,FALSE),0)+IF($F152&gt;='القوائم'!$N$6,2,IF($F152&gt;0,1,0))+IFERROR(VLOOKUP($G152,'القوائم'!$E$5:$F$7,2,FALSE),0)+IFERROR(VLOOKUP($H152,'القوائم'!$G$5:$H$7,2,FALSE),0))</f>
        <v/>
      </c>
      <c r="J152" s="7" t="n"/>
      <c r="K152" s="5" t="n"/>
      <c r="L152" s="5" t="n"/>
      <c r="M152" s="5" t="n"/>
      <c r="N152" s="11">
        <f>IF($A152="","",IF(COUNTIFS('مقدّمو الطلبات'!$A$5:$A$204,$A152,'مقدّمو الطلبات'!$J$5:$J$204,"&lt;&gt;")=0,"",SUMPRODUCT(MAX(('مقدّمو الطلبات'!$A$5:$A$204=$A152)*'مقدّمو الطلبات'!$J$5:$J$204))))</f>
        <v/>
      </c>
      <c r="O152" s="6">
        <f>IF($A152="","",COUNTIFS('مقدّمو الطلبات'!$A$5:$A$204,$A152,'مقدّمو الطلبات'!$K$5:$K$204,"لا"))</f>
        <v/>
      </c>
      <c r="P152" s="12">
        <f>IF($A152="","",IF($C152=0,"بلا مقدّمي طلب",IF($J152="","بلا قرار",IF($O152&gt;0,"ردود مستحقة",IF(OR($J152="غير مخطط لها",$J152="أُطلقت"),"مغلق","مفتوح")))))</f>
        <v/>
      </c>
      <c r="Q152" s="5" t="n"/>
      <c r="R152">
        <f>IF(ISNUMBER($I152),$I152+(1000-ROW())/100000,"")</f>
        <v/>
      </c>
    </row>
    <row r="153">
      <c r="A153" s="4" t="n"/>
      <c r="B153" s="5" t="n"/>
      <c r="C153" s="6">
        <f>IF($A153="","",COUNTIF('مقدّمو الطلبات'!$A$5:$A$204,$A153))</f>
        <v/>
      </c>
      <c r="D153" s="7" t="n"/>
      <c r="E153" s="5" t="n"/>
      <c r="F153" s="8">
        <f>IF($A153="","",SUMIFS('مقدّمو الطلبات'!$F$5:$F$204,'مقدّمو الطلبات'!$A$5:$A$204,$A153,'مقدّمو الطلبات'!$G$5:$G$204,"نعم"))</f>
        <v/>
      </c>
      <c r="G153" s="9" t="n"/>
      <c r="H153" s="9" t="n"/>
      <c r="I153" s="10">
        <f>IF(OR($A153="",$D153="",$E153="",$G153="",$H153=""),"",MIN($C153,'القوائم'!$N$5)+IFERROR(VLOOKUP($D153,'القوائم'!$A$5:$B$8,2,FALSE),0)+IFERROR(VLOOKUP($E153,'القوائم'!$C$5:$D$7,2,FALSE),0)+IF($F153&gt;='القوائم'!$N$6,2,IF($F153&gt;0,1,0))+IFERROR(VLOOKUP($G153,'القوائم'!$E$5:$F$7,2,FALSE),0)+IFERROR(VLOOKUP($H153,'القوائم'!$G$5:$H$7,2,FALSE),0))</f>
        <v/>
      </c>
      <c r="J153" s="7" t="n"/>
      <c r="K153" s="5" t="n"/>
      <c r="L153" s="5" t="n"/>
      <c r="M153" s="5" t="n"/>
      <c r="N153" s="11">
        <f>IF($A153="","",IF(COUNTIFS('مقدّمو الطلبات'!$A$5:$A$204,$A153,'مقدّمو الطلبات'!$J$5:$J$204,"&lt;&gt;")=0,"",SUMPRODUCT(MAX(('مقدّمو الطلبات'!$A$5:$A$204=$A153)*'مقدّمو الطلبات'!$J$5:$J$204))))</f>
        <v/>
      </c>
      <c r="O153" s="6">
        <f>IF($A153="","",COUNTIFS('مقدّمو الطلبات'!$A$5:$A$204,$A153,'مقدّمو الطلبات'!$K$5:$K$204,"لا"))</f>
        <v/>
      </c>
      <c r="P153" s="12">
        <f>IF($A153="","",IF($C153=0,"بلا مقدّمي طلب",IF($J153="","بلا قرار",IF($O153&gt;0,"ردود مستحقة",IF(OR($J153="غير مخطط لها",$J153="أُطلقت"),"مغلق","مفتوح")))))</f>
        <v/>
      </c>
      <c r="Q153" s="5" t="n"/>
      <c r="R153">
        <f>IF(ISNUMBER($I153),$I153+(1000-ROW())/100000,"")</f>
        <v/>
      </c>
    </row>
    <row r="154">
      <c r="A154" s="4" t="n"/>
      <c r="B154" s="5" t="n"/>
      <c r="C154" s="6">
        <f>IF($A154="","",COUNTIF('مقدّمو الطلبات'!$A$5:$A$204,$A154))</f>
        <v/>
      </c>
      <c r="D154" s="7" t="n"/>
      <c r="E154" s="5" t="n"/>
      <c r="F154" s="8">
        <f>IF($A154="","",SUMIFS('مقدّمو الطلبات'!$F$5:$F$204,'مقدّمو الطلبات'!$A$5:$A$204,$A154,'مقدّمو الطلبات'!$G$5:$G$204,"نعم"))</f>
        <v/>
      </c>
      <c r="G154" s="9" t="n"/>
      <c r="H154" s="9" t="n"/>
      <c r="I154" s="10">
        <f>IF(OR($A154="",$D154="",$E154="",$G154="",$H154=""),"",MIN($C154,'القوائم'!$N$5)+IFERROR(VLOOKUP($D154,'القوائم'!$A$5:$B$8,2,FALSE),0)+IFERROR(VLOOKUP($E154,'القوائم'!$C$5:$D$7,2,FALSE),0)+IF($F154&gt;='القوائم'!$N$6,2,IF($F154&gt;0,1,0))+IFERROR(VLOOKUP($G154,'القوائم'!$E$5:$F$7,2,FALSE),0)+IFERROR(VLOOKUP($H154,'القوائم'!$G$5:$H$7,2,FALSE),0))</f>
        <v/>
      </c>
      <c r="J154" s="7" t="n"/>
      <c r="K154" s="5" t="n"/>
      <c r="L154" s="5" t="n"/>
      <c r="M154" s="5" t="n"/>
      <c r="N154" s="11">
        <f>IF($A154="","",IF(COUNTIFS('مقدّمو الطلبات'!$A$5:$A$204,$A154,'مقدّمو الطلبات'!$J$5:$J$204,"&lt;&gt;")=0,"",SUMPRODUCT(MAX(('مقدّمو الطلبات'!$A$5:$A$204=$A154)*'مقدّمو الطلبات'!$J$5:$J$204))))</f>
        <v/>
      </c>
      <c r="O154" s="6">
        <f>IF($A154="","",COUNTIFS('مقدّمو الطلبات'!$A$5:$A$204,$A154,'مقدّمو الطلبات'!$K$5:$K$204,"لا"))</f>
        <v/>
      </c>
      <c r="P154" s="12">
        <f>IF($A154="","",IF($C154=0,"بلا مقدّمي طلب",IF($J154="","بلا قرار",IF($O154&gt;0,"ردود مستحقة",IF(OR($J154="غير مخطط لها",$J154="أُطلقت"),"مغلق","مفتوح")))))</f>
        <v/>
      </c>
      <c r="Q154" s="5" t="n"/>
      <c r="R154">
        <f>IF(ISNUMBER($I154),$I154+(1000-ROW())/100000,"")</f>
        <v/>
      </c>
    </row>
    <row r="155">
      <c r="A155" s="4" t="n"/>
      <c r="B155" s="5" t="n"/>
      <c r="C155" s="6">
        <f>IF($A155="","",COUNTIF('مقدّمو الطلبات'!$A$5:$A$204,$A155))</f>
        <v/>
      </c>
      <c r="D155" s="7" t="n"/>
      <c r="E155" s="5" t="n"/>
      <c r="F155" s="8">
        <f>IF($A155="","",SUMIFS('مقدّمو الطلبات'!$F$5:$F$204,'مقدّمو الطلبات'!$A$5:$A$204,$A155,'مقدّمو الطلبات'!$G$5:$G$204,"نعم"))</f>
        <v/>
      </c>
      <c r="G155" s="9" t="n"/>
      <c r="H155" s="9" t="n"/>
      <c r="I155" s="10">
        <f>IF(OR($A155="",$D155="",$E155="",$G155="",$H155=""),"",MIN($C155,'القوائم'!$N$5)+IFERROR(VLOOKUP($D155,'القوائم'!$A$5:$B$8,2,FALSE),0)+IFERROR(VLOOKUP($E155,'القوائم'!$C$5:$D$7,2,FALSE),0)+IF($F155&gt;='القوائم'!$N$6,2,IF($F155&gt;0,1,0))+IFERROR(VLOOKUP($G155,'القوائم'!$E$5:$F$7,2,FALSE),0)+IFERROR(VLOOKUP($H155,'القوائم'!$G$5:$H$7,2,FALSE),0))</f>
        <v/>
      </c>
      <c r="J155" s="7" t="n"/>
      <c r="K155" s="5" t="n"/>
      <c r="L155" s="5" t="n"/>
      <c r="M155" s="5" t="n"/>
      <c r="N155" s="11">
        <f>IF($A155="","",IF(COUNTIFS('مقدّمو الطلبات'!$A$5:$A$204,$A155,'مقدّمو الطلبات'!$J$5:$J$204,"&lt;&gt;")=0,"",SUMPRODUCT(MAX(('مقدّمو الطلبات'!$A$5:$A$204=$A155)*'مقدّمو الطلبات'!$J$5:$J$204))))</f>
        <v/>
      </c>
      <c r="O155" s="6">
        <f>IF($A155="","",COUNTIFS('مقدّمو الطلبات'!$A$5:$A$204,$A155,'مقدّمو الطلبات'!$K$5:$K$204,"لا"))</f>
        <v/>
      </c>
      <c r="P155" s="12">
        <f>IF($A155="","",IF($C155=0,"بلا مقدّمي طلب",IF($J155="","بلا قرار",IF($O155&gt;0,"ردود مستحقة",IF(OR($J155="غير مخطط لها",$J155="أُطلقت"),"مغلق","مفتوح")))))</f>
        <v/>
      </c>
      <c r="Q155" s="5" t="n"/>
      <c r="R155">
        <f>IF(ISNUMBER($I155),$I155+(1000-ROW())/100000,"")</f>
        <v/>
      </c>
    </row>
    <row r="156">
      <c r="A156" s="4" t="n"/>
      <c r="B156" s="5" t="n"/>
      <c r="C156" s="6">
        <f>IF($A156="","",COUNTIF('مقدّمو الطلبات'!$A$5:$A$204,$A156))</f>
        <v/>
      </c>
      <c r="D156" s="7" t="n"/>
      <c r="E156" s="5" t="n"/>
      <c r="F156" s="8">
        <f>IF($A156="","",SUMIFS('مقدّمو الطلبات'!$F$5:$F$204,'مقدّمو الطلبات'!$A$5:$A$204,$A156,'مقدّمو الطلبات'!$G$5:$G$204,"نعم"))</f>
        <v/>
      </c>
      <c r="G156" s="9" t="n"/>
      <c r="H156" s="9" t="n"/>
      <c r="I156" s="10">
        <f>IF(OR($A156="",$D156="",$E156="",$G156="",$H156=""),"",MIN($C156,'القوائم'!$N$5)+IFERROR(VLOOKUP($D156,'القوائم'!$A$5:$B$8,2,FALSE),0)+IFERROR(VLOOKUP($E156,'القوائم'!$C$5:$D$7,2,FALSE),0)+IF($F156&gt;='القوائم'!$N$6,2,IF($F156&gt;0,1,0))+IFERROR(VLOOKUP($G156,'القوائم'!$E$5:$F$7,2,FALSE),0)+IFERROR(VLOOKUP($H156,'القوائم'!$G$5:$H$7,2,FALSE),0))</f>
        <v/>
      </c>
      <c r="J156" s="7" t="n"/>
      <c r="K156" s="5" t="n"/>
      <c r="L156" s="5" t="n"/>
      <c r="M156" s="5" t="n"/>
      <c r="N156" s="11">
        <f>IF($A156="","",IF(COUNTIFS('مقدّمو الطلبات'!$A$5:$A$204,$A156,'مقدّمو الطلبات'!$J$5:$J$204,"&lt;&gt;")=0,"",SUMPRODUCT(MAX(('مقدّمو الطلبات'!$A$5:$A$204=$A156)*'مقدّمو الطلبات'!$J$5:$J$204))))</f>
        <v/>
      </c>
      <c r="O156" s="6">
        <f>IF($A156="","",COUNTIFS('مقدّمو الطلبات'!$A$5:$A$204,$A156,'مقدّمو الطلبات'!$K$5:$K$204,"لا"))</f>
        <v/>
      </c>
      <c r="P156" s="12">
        <f>IF($A156="","",IF($C156=0,"بلا مقدّمي طلب",IF($J156="","بلا قرار",IF($O156&gt;0,"ردود مستحقة",IF(OR($J156="غير مخطط لها",$J156="أُطلقت"),"مغلق","مفتوح")))))</f>
        <v/>
      </c>
      <c r="Q156" s="5" t="n"/>
      <c r="R156">
        <f>IF(ISNUMBER($I156),$I156+(1000-ROW())/100000,"")</f>
        <v/>
      </c>
    </row>
    <row r="157">
      <c r="A157" s="4" t="n"/>
      <c r="B157" s="5" t="n"/>
      <c r="C157" s="6">
        <f>IF($A157="","",COUNTIF('مقدّمو الطلبات'!$A$5:$A$204,$A157))</f>
        <v/>
      </c>
      <c r="D157" s="7" t="n"/>
      <c r="E157" s="5" t="n"/>
      <c r="F157" s="8">
        <f>IF($A157="","",SUMIFS('مقدّمو الطلبات'!$F$5:$F$204,'مقدّمو الطلبات'!$A$5:$A$204,$A157,'مقدّمو الطلبات'!$G$5:$G$204,"نعم"))</f>
        <v/>
      </c>
      <c r="G157" s="9" t="n"/>
      <c r="H157" s="9" t="n"/>
      <c r="I157" s="10">
        <f>IF(OR($A157="",$D157="",$E157="",$G157="",$H157=""),"",MIN($C157,'القوائم'!$N$5)+IFERROR(VLOOKUP($D157,'القوائم'!$A$5:$B$8,2,FALSE),0)+IFERROR(VLOOKUP($E157,'القوائم'!$C$5:$D$7,2,FALSE),0)+IF($F157&gt;='القوائم'!$N$6,2,IF($F157&gt;0,1,0))+IFERROR(VLOOKUP($G157,'القوائم'!$E$5:$F$7,2,FALSE),0)+IFERROR(VLOOKUP($H157,'القوائم'!$G$5:$H$7,2,FALSE),0))</f>
        <v/>
      </c>
      <c r="J157" s="7" t="n"/>
      <c r="K157" s="5" t="n"/>
      <c r="L157" s="5" t="n"/>
      <c r="M157" s="5" t="n"/>
      <c r="N157" s="11">
        <f>IF($A157="","",IF(COUNTIFS('مقدّمو الطلبات'!$A$5:$A$204,$A157,'مقدّمو الطلبات'!$J$5:$J$204,"&lt;&gt;")=0,"",SUMPRODUCT(MAX(('مقدّمو الطلبات'!$A$5:$A$204=$A157)*'مقدّمو الطلبات'!$J$5:$J$204))))</f>
        <v/>
      </c>
      <c r="O157" s="6">
        <f>IF($A157="","",COUNTIFS('مقدّمو الطلبات'!$A$5:$A$204,$A157,'مقدّمو الطلبات'!$K$5:$K$204,"لا"))</f>
        <v/>
      </c>
      <c r="P157" s="12">
        <f>IF($A157="","",IF($C157=0,"بلا مقدّمي طلب",IF($J157="","بلا قرار",IF($O157&gt;0,"ردود مستحقة",IF(OR($J157="غير مخطط لها",$J157="أُطلقت"),"مغلق","مفتوح")))))</f>
        <v/>
      </c>
      <c r="Q157" s="5" t="n"/>
      <c r="R157">
        <f>IF(ISNUMBER($I157),$I157+(1000-ROW())/100000,"")</f>
        <v/>
      </c>
    </row>
    <row r="158">
      <c r="A158" s="4" t="n"/>
      <c r="B158" s="5" t="n"/>
      <c r="C158" s="6">
        <f>IF($A158="","",COUNTIF('مقدّمو الطلبات'!$A$5:$A$204,$A158))</f>
        <v/>
      </c>
      <c r="D158" s="7" t="n"/>
      <c r="E158" s="5" t="n"/>
      <c r="F158" s="8">
        <f>IF($A158="","",SUMIFS('مقدّمو الطلبات'!$F$5:$F$204,'مقدّمو الطلبات'!$A$5:$A$204,$A158,'مقدّمو الطلبات'!$G$5:$G$204,"نعم"))</f>
        <v/>
      </c>
      <c r="G158" s="9" t="n"/>
      <c r="H158" s="9" t="n"/>
      <c r="I158" s="10">
        <f>IF(OR($A158="",$D158="",$E158="",$G158="",$H158=""),"",MIN($C158,'القوائم'!$N$5)+IFERROR(VLOOKUP($D158,'القوائم'!$A$5:$B$8,2,FALSE),0)+IFERROR(VLOOKUP($E158,'القوائم'!$C$5:$D$7,2,FALSE),0)+IF($F158&gt;='القوائم'!$N$6,2,IF($F158&gt;0,1,0))+IFERROR(VLOOKUP($G158,'القوائم'!$E$5:$F$7,2,FALSE),0)+IFERROR(VLOOKUP($H158,'القوائم'!$G$5:$H$7,2,FALSE),0))</f>
        <v/>
      </c>
      <c r="J158" s="7" t="n"/>
      <c r="K158" s="5" t="n"/>
      <c r="L158" s="5" t="n"/>
      <c r="M158" s="5" t="n"/>
      <c r="N158" s="11">
        <f>IF($A158="","",IF(COUNTIFS('مقدّمو الطلبات'!$A$5:$A$204,$A158,'مقدّمو الطلبات'!$J$5:$J$204,"&lt;&gt;")=0,"",SUMPRODUCT(MAX(('مقدّمو الطلبات'!$A$5:$A$204=$A158)*'مقدّمو الطلبات'!$J$5:$J$204))))</f>
        <v/>
      </c>
      <c r="O158" s="6">
        <f>IF($A158="","",COUNTIFS('مقدّمو الطلبات'!$A$5:$A$204,$A158,'مقدّمو الطلبات'!$K$5:$K$204,"لا"))</f>
        <v/>
      </c>
      <c r="P158" s="12">
        <f>IF($A158="","",IF($C158=0,"بلا مقدّمي طلب",IF($J158="","بلا قرار",IF($O158&gt;0,"ردود مستحقة",IF(OR($J158="غير مخطط لها",$J158="أُطلقت"),"مغلق","مفتوح")))))</f>
        <v/>
      </c>
      <c r="Q158" s="5" t="n"/>
      <c r="R158">
        <f>IF(ISNUMBER($I158),$I158+(1000-ROW())/100000,"")</f>
        <v/>
      </c>
    </row>
    <row r="159">
      <c r="A159" s="4" t="n"/>
      <c r="B159" s="5" t="n"/>
      <c r="C159" s="6">
        <f>IF($A159="","",COUNTIF('مقدّمو الطلبات'!$A$5:$A$204,$A159))</f>
        <v/>
      </c>
      <c r="D159" s="7" t="n"/>
      <c r="E159" s="5" t="n"/>
      <c r="F159" s="8">
        <f>IF($A159="","",SUMIFS('مقدّمو الطلبات'!$F$5:$F$204,'مقدّمو الطلبات'!$A$5:$A$204,$A159,'مقدّمو الطلبات'!$G$5:$G$204,"نعم"))</f>
        <v/>
      </c>
      <c r="G159" s="9" t="n"/>
      <c r="H159" s="9" t="n"/>
      <c r="I159" s="10">
        <f>IF(OR($A159="",$D159="",$E159="",$G159="",$H159=""),"",MIN($C159,'القوائم'!$N$5)+IFERROR(VLOOKUP($D159,'القوائم'!$A$5:$B$8,2,FALSE),0)+IFERROR(VLOOKUP($E159,'القوائم'!$C$5:$D$7,2,FALSE),0)+IF($F159&gt;='القوائم'!$N$6,2,IF($F159&gt;0,1,0))+IFERROR(VLOOKUP($G159,'القوائم'!$E$5:$F$7,2,FALSE),0)+IFERROR(VLOOKUP($H159,'القوائم'!$G$5:$H$7,2,FALSE),0))</f>
        <v/>
      </c>
      <c r="J159" s="7" t="n"/>
      <c r="K159" s="5" t="n"/>
      <c r="L159" s="5" t="n"/>
      <c r="M159" s="5" t="n"/>
      <c r="N159" s="11">
        <f>IF($A159="","",IF(COUNTIFS('مقدّمو الطلبات'!$A$5:$A$204,$A159,'مقدّمو الطلبات'!$J$5:$J$204,"&lt;&gt;")=0,"",SUMPRODUCT(MAX(('مقدّمو الطلبات'!$A$5:$A$204=$A159)*'مقدّمو الطلبات'!$J$5:$J$204))))</f>
        <v/>
      </c>
      <c r="O159" s="6">
        <f>IF($A159="","",COUNTIFS('مقدّمو الطلبات'!$A$5:$A$204,$A159,'مقدّمو الطلبات'!$K$5:$K$204,"لا"))</f>
        <v/>
      </c>
      <c r="P159" s="12">
        <f>IF($A159="","",IF($C159=0,"بلا مقدّمي طلب",IF($J159="","بلا قرار",IF($O159&gt;0,"ردود مستحقة",IF(OR($J159="غير مخطط لها",$J159="أُطلقت"),"مغلق","مفتوح")))))</f>
        <v/>
      </c>
      <c r="Q159" s="5" t="n"/>
      <c r="R159">
        <f>IF(ISNUMBER($I159),$I159+(1000-ROW())/100000,"")</f>
        <v/>
      </c>
    </row>
    <row r="160">
      <c r="A160" s="4" t="n"/>
      <c r="B160" s="5" t="n"/>
      <c r="C160" s="6">
        <f>IF($A160="","",COUNTIF('مقدّمو الطلبات'!$A$5:$A$204,$A160))</f>
        <v/>
      </c>
      <c r="D160" s="7" t="n"/>
      <c r="E160" s="5" t="n"/>
      <c r="F160" s="8">
        <f>IF($A160="","",SUMIFS('مقدّمو الطلبات'!$F$5:$F$204,'مقدّمو الطلبات'!$A$5:$A$204,$A160,'مقدّمو الطلبات'!$G$5:$G$204,"نعم"))</f>
        <v/>
      </c>
      <c r="G160" s="9" t="n"/>
      <c r="H160" s="9" t="n"/>
      <c r="I160" s="10">
        <f>IF(OR($A160="",$D160="",$E160="",$G160="",$H160=""),"",MIN($C160,'القوائم'!$N$5)+IFERROR(VLOOKUP($D160,'القوائم'!$A$5:$B$8,2,FALSE),0)+IFERROR(VLOOKUP($E160,'القوائم'!$C$5:$D$7,2,FALSE),0)+IF($F160&gt;='القوائم'!$N$6,2,IF($F160&gt;0,1,0))+IFERROR(VLOOKUP($G160,'القوائم'!$E$5:$F$7,2,FALSE),0)+IFERROR(VLOOKUP($H160,'القوائم'!$G$5:$H$7,2,FALSE),0))</f>
        <v/>
      </c>
      <c r="J160" s="7" t="n"/>
      <c r="K160" s="5" t="n"/>
      <c r="L160" s="5" t="n"/>
      <c r="M160" s="5" t="n"/>
      <c r="N160" s="11">
        <f>IF($A160="","",IF(COUNTIFS('مقدّمو الطلبات'!$A$5:$A$204,$A160,'مقدّمو الطلبات'!$J$5:$J$204,"&lt;&gt;")=0,"",SUMPRODUCT(MAX(('مقدّمو الطلبات'!$A$5:$A$204=$A160)*'مقدّمو الطلبات'!$J$5:$J$204))))</f>
        <v/>
      </c>
      <c r="O160" s="6">
        <f>IF($A160="","",COUNTIFS('مقدّمو الطلبات'!$A$5:$A$204,$A160,'مقدّمو الطلبات'!$K$5:$K$204,"لا"))</f>
        <v/>
      </c>
      <c r="P160" s="12">
        <f>IF($A160="","",IF($C160=0,"بلا مقدّمي طلب",IF($J160="","بلا قرار",IF($O160&gt;0,"ردود مستحقة",IF(OR($J160="غير مخطط لها",$J160="أُطلقت"),"مغلق","مفتوح")))))</f>
        <v/>
      </c>
      <c r="Q160" s="5" t="n"/>
      <c r="R160">
        <f>IF(ISNUMBER($I160),$I160+(1000-ROW())/100000,"")</f>
        <v/>
      </c>
    </row>
    <row r="161">
      <c r="A161" s="4" t="n"/>
      <c r="B161" s="5" t="n"/>
      <c r="C161" s="6">
        <f>IF($A161="","",COUNTIF('مقدّمو الطلبات'!$A$5:$A$204,$A161))</f>
        <v/>
      </c>
      <c r="D161" s="7" t="n"/>
      <c r="E161" s="5" t="n"/>
      <c r="F161" s="8">
        <f>IF($A161="","",SUMIFS('مقدّمو الطلبات'!$F$5:$F$204,'مقدّمو الطلبات'!$A$5:$A$204,$A161,'مقدّمو الطلبات'!$G$5:$G$204,"نعم"))</f>
        <v/>
      </c>
      <c r="G161" s="9" t="n"/>
      <c r="H161" s="9" t="n"/>
      <c r="I161" s="10">
        <f>IF(OR($A161="",$D161="",$E161="",$G161="",$H161=""),"",MIN($C161,'القوائم'!$N$5)+IFERROR(VLOOKUP($D161,'القوائم'!$A$5:$B$8,2,FALSE),0)+IFERROR(VLOOKUP($E161,'القوائم'!$C$5:$D$7,2,FALSE),0)+IF($F161&gt;='القوائم'!$N$6,2,IF($F161&gt;0,1,0))+IFERROR(VLOOKUP($G161,'القوائم'!$E$5:$F$7,2,FALSE),0)+IFERROR(VLOOKUP($H161,'القوائم'!$G$5:$H$7,2,FALSE),0))</f>
        <v/>
      </c>
      <c r="J161" s="7" t="n"/>
      <c r="K161" s="5" t="n"/>
      <c r="L161" s="5" t="n"/>
      <c r="M161" s="5" t="n"/>
      <c r="N161" s="11">
        <f>IF($A161="","",IF(COUNTIFS('مقدّمو الطلبات'!$A$5:$A$204,$A161,'مقدّمو الطلبات'!$J$5:$J$204,"&lt;&gt;")=0,"",SUMPRODUCT(MAX(('مقدّمو الطلبات'!$A$5:$A$204=$A161)*'مقدّمو الطلبات'!$J$5:$J$204))))</f>
        <v/>
      </c>
      <c r="O161" s="6">
        <f>IF($A161="","",COUNTIFS('مقدّمو الطلبات'!$A$5:$A$204,$A161,'مقدّمو الطلبات'!$K$5:$K$204,"لا"))</f>
        <v/>
      </c>
      <c r="P161" s="12">
        <f>IF($A161="","",IF($C161=0,"بلا مقدّمي طلب",IF($J161="","بلا قرار",IF($O161&gt;0,"ردود مستحقة",IF(OR($J161="غير مخطط لها",$J161="أُطلقت"),"مغلق","مفتوح")))))</f>
        <v/>
      </c>
      <c r="Q161" s="5" t="n"/>
      <c r="R161">
        <f>IF(ISNUMBER($I161),$I161+(1000-ROW())/100000,"")</f>
        <v/>
      </c>
    </row>
    <row r="162">
      <c r="A162" s="4" t="n"/>
      <c r="B162" s="5" t="n"/>
      <c r="C162" s="6">
        <f>IF($A162="","",COUNTIF('مقدّمو الطلبات'!$A$5:$A$204,$A162))</f>
        <v/>
      </c>
      <c r="D162" s="7" t="n"/>
      <c r="E162" s="5" t="n"/>
      <c r="F162" s="8">
        <f>IF($A162="","",SUMIFS('مقدّمو الطلبات'!$F$5:$F$204,'مقدّمو الطلبات'!$A$5:$A$204,$A162,'مقدّمو الطلبات'!$G$5:$G$204,"نعم"))</f>
        <v/>
      </c>
      <c r="G162" s="9" t="n"/>
      <c r="H162" s="9" t="n"/>
      <c r="I162" s="10">
        <f>IF(OR($A162="",$D162="",$E162="",$G162="",$H162=""),"",MIN($C162,'القوائم'!$N$5)+IFERROR(VLOOKUP($D162,'القوائم'!$A$5:$B$8,2,FALSE),0)+IFERROR(VLOOKUP($E162,'القوائم'!$C$5:$D$7,2,FALSE),0)+IF($F162&gt;='القوائم'!$N$6,2,IF($F162&gt;0,1,0))+IFERROR(VLOOKUP($G162,'القوائم'!$E$5:$F$7,2,FALSE),0)+IFERROR(VLOOKUP($H162,'القوائم'!$G$5:$H$7,2,FALSE),0))</f>
        <v/>
      </c>
      <c r="J162" s="7" t="n"/>
      <c r="K162" s="5" t="n"/>
      <c r="L162" s="5" t="n"/>
      <c r="M162" s="5" t="n"/>
      <c r="N162" s="11">
        <f>IF($A162="","",IF(COUNTIFS('مقدّمو الطلبات'!$A$5:$A$204,$A162,'مقدّمو الطلبات'!$J$5:$J$204,"&lt;&gt;")=0,"",SUMPRODUCT(MAX(('مقدّمو الطلبات'!$A$5:$A$204=$A162)*'مقدّمو الطلبات'!$J$5:$J$204))))</f>
        <v/>
      </c>
      <c r="O162" s="6">
        <f>IF($A162="","",COUNTIFS('مقدّمو الطلبات'!$A$5:$A$204,$A162,'مقدّمو الطلبات'!$K$5:$K$204,"لا"))</f>
        <v/>
      </c>
      <c r="P162" s="12">
        <f>IF($A162="","",IF($C162=0,"بلا مقدّمي طلب",IF($J162="","بلا قرار",IF($O162&gt;0,"ردود مستحقة",IF(OR($J162="غير مخطط لها",$J162="أُطلقت"),"مغلق","مفتوح")))))</f>
        <v/>
      </c>
      <c r="Q162" s="5" t="n"/>
      <c r="R162">
        <f>IF(ISNUMBER($I162),$I162+(1000-ROW())/100000,"")</f>
        <v/>
      </c>
    </row>
    <row r="163">
      <c r="A163" s="4" t="n"/>
      <c r="B163" s="5" t="n"/>
      <c r="C163" s="6">
        <f>IF($A163="","",COUNTIF('مقدّمو الطلبات'!$A$5:$A$204,$A163))</f>
        <v/>
      </c>
      <c r="D163" s="7" t="n"/>
      <c r="E163" s="5" t="n"/>
      <c r="F163" s="8">
        <f>IF($A163="","",SUMIFS('مقدّمو الطلبات'!$F$5:$F$204,'مقدّمو الطلبات'!$A$5:$A$204,$A163,'مقدّمو الطلبات'!$G$5:$G$204,"نعم"))</f>
        <v/>
      </c>
      <c r="G163" s="9" t="n"/>
      <c r="H163" s="9" t="n"/>
      <c r="I163" s="10">
        <f>IF(OR($A163="",$D163="",$E163="",$G163="",$H163=""),"",MIN($C163,'القوائم'!$N$5)+IFERROR(VLOOKUP($D163,'القوائم'!$A$5:$B$8,2,FALSE),0)+IFERROR(VLOOKUP($E163,'القوائم'!$C$5:$D$7,2,FALSE),0)+IF($F163&gt;='القوائم'!$N$6,2,IF($F163&gt;0,1,0))+IFERROR(VLOOKUP($G163,'القوائم'!$E$5:$F$7,2,FALSE),0)+IFERROR(VLOOKUP($H163,'القوائم'!$G$5:$H$7,2,FALSE),0))</f>
        <v/>
      </c>
      <c r="J163" s="7" t="n"/>
      <c r="K163" s="5" t="n"/>
      <c r="L163" s="5" t="n"/>
      <c r="M163" s="5" t="n"/>
      <c r="N163" s="11">
        <f>IF($A163="","",IF(COUNTIFS('مقدّمو الطلبات'!$A$5:$A$204,$A163,'مقدّمو الطلبات'!$J$5:$J$204,"&lt;&gt;")=0,"",SUMPRODUCT(MAX(('مقدّمو الطلبات'!$A$5:$A$204=$A163)*'مقدّمو الطلبات'!$J$5:$J$204))))</f>
        <v/>
      </c>
      <c r="O163" s="6">
        <f>IF($A163="","",COUNTIFS('مقدّمو الطلبات'!$A$5:$A$204,$A163,'مقدّمو الطلبات'!$K$5:$K$204,"لا"))</f>
        <v/>
      </c>
      <c r="P163" s="12">
        <f>IF($A163="","",IF($C163=0,"بلا مقدّمي طلب",IF($J163="","بلا قرار",IF($O163&gt;0,"ردود مستحقة",IF(OR($J163="غير مخطط لها",$J163="أُطلقت"),"مغلق","مفتوح")))))</f>
        <v/>
      </c>
      <c r="Q163" s="5" t="n"/>
      <c r="R163">
        <f>IF(ISNUMBER($I163),$I163+(1000-ROW())/100000,"")</f>
        <v/>
      </c>
    </row>
    <row r="164">
      <c r="A164" s="4" t="n"/>
      <c r="B164" s="5" t="n"/>
      <c r="C164" s="6">
        <f>IF($A164="","",COUNTIF('مقدّمو الطلبات'!$A$5:$A$204,$A164))</f>
        <v/>
      </c>
      <c r="D164" s="7" t="n"/>
      <c r="E164" s="5" t="n"/>
      <c r="F164" s="8">
        <f>IF($A164="","",SUMIFS('مقدّمو الطلبات'!$F$5:$F$204,'مقدّمو الطلبات'!$A$5:$A$204,$A164,'مقدّمو الطلبات'!$G$5:$G$204,"نعم"))</f>
        <v/>
      </c>
      <c r="G164" s="9" t="n"/>
      <c r="H164" s="9" t="n"/>
      <c r="I164" s="10">
        <f>IF(OR($A164="",$D164="",$E164="",$G164="",$H164=""),"",MIN($C164,'القوائم'!$N$5)+IFERROR(VLOOKUP($D164,'القوائم'!$A$5:$B$8,2,FALSE),0)+IFERROR(VLOOKUP($E164,'القوائم'!$C$5:$D$7,2,FALSE),0)+IF($F164&gt;='القوائم'!$N$6,2,IF($F164&gt;0,1,0))+IFERROR(VLOOKUP($G164,'القوائم'!$E$5:$F$7,2,FALSE),0)+IFERROR(VLOOKUP($H164,'القوائم'!$G$5:$H$7,2,FALSE),0))</f>
        <v/>
      </c>
      <c r="J164" s="7" t="n"/>
      <c r="K164" s="5" t="n"/>
      <c r="L164" s="5" t="n"/>
      <c r="M164" s="5" t="n"/>
      <c r="N164" s="11">
        <f>IF($A164="","",IF(COUNTIFS('مقدّمو الطلبات'!$A$5:$A$204,$A164,'مقدّمو الطلبات'!$J$5:$J$204,"&lt;&gt;")=0,"",SUMPRODUCT(MAX(('مقدّمو الطلبات'!$A$5:$A$204=$A164)*'مقدّمو الطلبات'!$J$5:$J$204))))</f>
        <v/>
      </c>
      <c r="O164" s="6">
        <f>IF($A164="","",COUNTIFS('مقدّمو الطلبات'!$A$5:$A$204,$A164,'مقدّمو الطلبات'!$K$5:$K$204,"لا"))</f>
        <v/>
      </c>
      <c r="P164" s="12">
        <f>IF($A164="","",IF($C164=0,"بلا مقدّمي طلب",IF($J164="","بلا قرار",IF($O164&gt;0,"ردود مستحقة",IF(OR($J164="غير مخطط لها",$J164="أُطلقت"),"مغلق","مفتوح")))))</f>
        <v/>
      </c>
      <c r="Q164" s="5" t="n"/>
      <c r="R164">
        <f>IF(ISNUMBER($I164),$I164+(1000-ROW())/100000,"")</f>
        <v/>
      </c>
    </row>
    <row r="165">
      <c r="A165" s="4" t="n"/>
      <c r="B165" s="5" t="n"/>
      <c r="C165" s="6">
        <f>IF($A165="","",COUNTIF('مقدّمو الطلبات'!$A$5:$A$204,$A165))</f>
        <v/>
      </c>
      <c r="D165" s="7" t="n"/>
      <c r="E165" s="5" t="n"/>
      <c r="F165" s="8">
        <f>IF($A165="","",SUMIFS('مقدّمو الطلبات'!$F$5:$F$204,'مقدّمو الطلبات'!$A$5:$A$204,$A165,'مقدّمو الطلبات'!$G$5:$G$204,"نعم"))</f>
        <v/>
      </c>
      <c r="G165" s="9" t="n"/>
      <c r="H165" s="9" t="n"/>
      <c r="I165" s="10">
        <f>IF(OR($A165="",$D165="",$E165="",$G165="",$H165=""),"",MIN($C165,'القوائم'!$N$5)+IFERROR(VLOOKUP($D165,'القوائم'!$A$5:$B$8,2,FALSE),0)+IFERROR(VLOOKUP($E165,'القوائم'!$C$5:$D$7,2,FALSE),0)+IF($F165&gt;='القوائم'!$N$6,2,IF($F165&gt;0,1,0))+IFERROR(VLOOKUP($G165,'القوائم'!$E$5:$F$7,2,FALSE),0)+IFERROR(VLOOKUP($H165,'القوائم'!$G$5:$H$7,2,FALSE),0))</f>
        <v/>
      </c>
      <c r="J165" s="7" t="n"/>
      <c r="K165" s="5" t="n"/>
      <c r="L165" s="5" t="n"/>
      <c r="M165" s="5" t="n"/>
      <c r="N165" s="11">
        <f>IF($A165="","",IF(COUNTIFS('مقدّمو الطلبات'!$A$5:$A$204,$A165,'مقدّمو الطلبات'!$J$5:$J$204,"&lt;&gt;")=0,"",SUMPRODUCT(MAX(('مقدّمو الطلبات'!$A$5:$A$204=$A165)*'مقدّمو الطلبات'!$J$5:$J$204))))</f>
        <v/>
      </c>
      <c r="O165" s="6">
        <f>IF($A165="","",COUNTIFS('مقدّمو الطلبات'!$A$5:$A$204,$A165,'مقدّمو الطلبات'!$K$5:$K$204,"لا"))</f>
        <v/>
      </c>
      <c r="P165" s="12">
        <f>IF($A165="","",IF($C165=0,"بلا مقدّمي طلب",IF($J165="","بلا قرار",IF($O165&gt;0,"ردود مستحقة",IF(OR($J165="غير مخطط لها",$J165="أُطلقت"),"مغلق","مفتوح")))))</f>
        <v/>
      </c>
      <c r="Q165" s="5" t="n"/>
      <c r="R165">
        <f>IF(ISNUMBER($I165),$I165+(1000-ROW())/100000,"")</f>
        <v/>
      </c>
    </row>
    <row r="166">
      <c r="A166" s="4" t="n"/>
      <c r="B166" s="5" t="n"/>
      <c r="C166" s="6">
        <f>IF($A166="","",COUNTIF('مقدّمو الطلبات'!$A$5:$A$204,$A166))</f>
        <v/>
      </c>
      <c r="D166" s="7" t="n"/>
      <c r="E166" s="5" t="n"/>
      <c r="F166" s="8">
        <f>IF($A166="","",SUMIFS('مقدّمو الطلبات'!$F$5:$F$204,'مقدّمو الطلبات'!$A$5:$A$204,$A166,'مقدّمو الطلبات'!$G$5:$G$204,"نعم"))</f>
        <v/>
      </c>
      <c r="G166" s="9" t="n"/>
      <c r="H166" s="9" t="n"/>
      <c r="I166" s="10">
        <f>IF(OR($A166="",$D166="",$E166="",$G166="",$H166=""),"",MIN($C166,'القوائم'!$N$5)+IFERROR(VLOOKUP($D166,'القوائم'!$A$5:$B$8,2,FALSE),0)+IFERROR(VLOOKUP($E166,'القوائم'!$C$5:$D$7,2,FALSE),0)+IF($F166&gt;='القوائم'!$N$6,2,IF($F166&gt;0,1,0))+IFERROR(VLOOKUP($G166,'القوائم'!$E$5:$F$7,2,FALSE),0)+IFERROR(VLOOKUP($H166,'القوائم'!$G$5:$H$7,2,FALSE),0))</f>
        <v/>
      </c>
      <c r="J166" s="7" t="n"/>
      <c r="K166" s="5" t="n"/>
      <c r="L166" s="5" t="n"/>
      <c r="M166" s="5" t="n"/>
      <c r="N166" s="11">
        <f>IF($A166="","",IF(COUNTIFS('مقدّمو الطلبات'!$A$5:$A$204,$A166,'مقدّمو الطلبات'!$J$5:$J$204,"&lt;&gt;")=0,"",SUMPRODUCT(MAX(('مقدّمو الطلبات'!$A$5:$A$204=$A166)*'مقدّمو الطلبات'!$J$5:$J$204))))</f>
        <v/>
      </c>
      <c r="O166" s="6">
        <f>IF($A166="","",COUNTIFS('مقدّمو الطلبات'!$A$5:$A$204,$A166,'مقدّمو الطلبات'!$K$5:$K$204,"لا"))</f>
        <v/>
      </c>
      <c r="P166" s="12">
        <f>IF($A166="","",IF($C166=0,"بلا مقدّمي طلب",IF($J166="","بلا قرار",IF($O166&gt;0,"ردود مستحقة",IF(OR($J166="غير مخطط لها",$J166="أُطلقت"),"مغلق","مفتوح")))))</f>
        <v/>
      </c>
      <c r="Q166" s="5" t="n"/>
      <c r="R166">
        <f>IF(ISNUMBER($I166),$I166+(1000-ROW())/100000,"")</f>
        <v/>
      </c>
    </row>
    <row r="167">
      <c r="A167" s="4" t="n"/>
      <c r="B167" s="5" t="n"/>
      <c r="C167" s="6">
        <f>IF($A167="","",COUNTIF('مقدّمو الطلبات'!$A$5:$A$204,$A167))</f>
        <v/>
      </c>
      <c r="D167" s="7" t="n"/>
      <c r="E167" s="5" t="n"/>
      <c r="F167" s="8">
        <f>IF($A167="","",SUMIFS('مقدّمو الطلبات'!$F$5:$F$204,'مقدّمو الطلبات'!$A$5:$A$204,$A167,'مقدّمو الطلبات'!$G$5:$G$204,"نعم"))</f>
        <v/>
      </c>
      <c r="G167" s="9" t="n"/>
      <c r="H167" s="9" t="n"/>
      <c r="I167" s="10">
        <f>IF(OR($A167="",$D167="",$E167="",$G167="",$H167=""),"",MIN($C167,'القوائم'!$N$5)+IFERROR(VLOOKUP($D167,'القوائم'!$A$5:$B$8,2,FALSE),0)+IFERROR(VLOOKUP($E167,'القوائم'!$C$5:$D$7,2,FALSE),0)+IF($F167&gt;='القوائم'!$N$6,2,IF($F167&gt;0,1,0))+IFERROR(VLOOKUP($G167,'القوائم'!$E$5:$F$7,2,FALSE),0)+IFERROR(VLOOKUP($H167,'القوائم'!$G$5:$H$7,2,FALSE),0))</f>
        <v/>
      </c>
      <c r="J167" s="7" t="n"/>
      <c r="K167" s="5" t="n"/>
      <c r="L167" s="5" t="n"/>
      <c r="M167" s="5" t="n"/>
      <c r="N167" s="11">
        <f>IF($A167="","",IF(COUNTIFS('مقدّمو الطلبات'!$A$5:$A$204,$A167,'مقدّمو الطلبات'!$J$5:$J$204,"&lt;&gt;")=0,"",SUMPRODUCT(MAX(('مقدّمو الطلبات'!$A$5:$A$204=$A167)*'مقدّمو الطلبات'!$J$5:$J$204))))</f>
        <v/>
      </c>
      <c r="O167" s="6">
        <f>IF($A167="","",COUNTIFS('مقدّمو الطلبات'!$A$5:$A$204,$A167,'مقدّمو الطلبات'!$K$5:$K$204,"لا"))</f>
        <v/>
      </c>
      <c r="P167" s="12">
        <f>IF($A167="","",IF($C167=0,"بلا مقدّمي طلب",IF($J167="","بلا قرار",IF($O167&gt;0,"ردود مستحقة",IF(OR($J167="غير مخطط لها",$J167="أُطلقت"),"مغلق","مفتوح")))))</f>
        <v/>
      </c>
      <c r="Q167" s="5" t="n"/>
      <c r="R167">
        <f>IF(ISNUMBER($I167),$I167+(1000-ROW())/100000,"")</f>
        <v/>
      </c>
    </row>
    <row r="168">
      <c r="A168" s="4" t="n"/>
      <c r="B168" s="5" t="n"/>
      <c r="C168" s="6">
        <f>IF($A168="","",COUNTIF('مقدّمو الطلبات'!$A$5:$A$204,$A168))</f>
        <v/>
      </c>
      <c r="D168" s="7" t="n"/>
      <c r="E168" s="5" t="n"/>
      <c r="F168" s="8">
        <f>IF($A168="","",SUMIFS('مقدّمو الطلبات'!$F$5:$F$204,'مقدّمو الطلبات'!$A$5:$A$204,$A168,'مقدّمو الطلبات'!$G$5:$G$204,"نعم"))</f>
        <v/>
      </c>
      <c r="G168" s="9" t="n"/>
      <c r="H168" s="9" t="n"/>
      <c r="I168" s="10">
        <f>IF(OR($A168="",$D168="",$E168="",$G168="",$H168=""),"",MIN($C168,'القوائم'!$N$5)+IFERROR(VLOOKUP($D168,'القوائم'!$A$5:$B$8,2,FALSE),0)+IFERROR(VLOOKUP($E168,'القوائم'!$C$5:$D$7,2,FALSE),0)+IF($F168&gt;='القوائم'!$N$6,2,IF($F168&gt;0,1,0))+IFERROR(VLOOKUP($G168,'القوائم'!$E$5:$F$7,2,FALSE),0)+IFERROR(VLOOKUP($H168,'القوائم'!$G$5:$H$7,2,FALSE),0))</f>
        <v/>
      </c>
      <c r="J168" s="7" t="n"/>
      <c r="K168" s="5" t="n"/>
      <c r="L168" s="5" t="n"/>
      <c r="M168" s="5" t="n"/>
      <c r="N168" s="11">
        <f>IF($A168="","",IF(COUNTIFS('مقدّمو الطلبات'!$A$5:$A$204,$A168,'مقدّمو الطلبات'!$J$5:$J$204,"&lt;&gt;")=0,"",SUMPRODUCT(MAX(('مقدّمو الطلبات'!$A$5:$A$204=$A168)*'مقدّمو الطلبات'!$J$5:$J$204))))</f>
        <v/>
      </c>
      <c r="O168" s="6">
        <f>IF($A168="","",COUNTIFS('مقدّمو الطلبات'!$A$5:$A$204,$A168,'مقدّمو الطلبات'!$K$5:$K$204,"لا"))</f>
        <v/>
      </c>
      <c r="P168" s="12">
        <f>IF($A168="","",IF($C168=0,"بلا مقدّمي طلب",IF($J168="","بلا قرار",IF($O168&gt;0,"ردود مستحقة",IF(OR($J168="غير مخطط لها",$J168="أُطلقت"),"مغلق","مفتوح")))))</f>
        <v/>
      </c>
      <c r="Q168" s="5" t="n"/>
      <c r="R168">
        <f>IF(ISNUMBER($I168),$I168+(1000-ROW())/100000,"")</f>
        <v/>
      </c>
    </row>
    <row r="169">
      <c r="A169" s="4" t="n"/>
      <c r="B169" s="5" t="n"/>
      <c r="C169" s="6">
        <f>IF($A169="","",COUNTIF('مقدّمو الطلبات'!$A$5:$A$204,$A169))</f>
        <v/>
      </c>
      <c r="D169" s="7" t="n"/>
      <c r="E169" s="5" t="n"/>
      <c r="F169" s="8">
        <f>IF($A169="","",SUMIFS('مقدّمو الطلبات'!$F$5:$F$204,'مقدّمو الطلبات'!$A$5:$A$204,$A169,'مقدّمو الطلبات'!$G$5:$G$204,"نعم"))</f>
        <v/>
      </c>
      <c r="G169" s="9" t="n"/>
      <c r="H169" s="9" t="n"/>
      <c r="I169" s="10">
        <f>IF(OR($A169="",$D169="",$E169="",$G169="",$H169=""),"",MIN($C169,'القوائم'!$N$5)+IFERROR(VLOOKUP($D169,'القوائم'!$A$5:$B$8,2,FALSE),0)+IFERROR(VLOOKUP($E169,'القوائم'!$C$5:$D$7,2,FALSE),0)+IF($F169&gt;='القوائم'!$N$6,2,IF($F169&gt;0,1,0))+IFERROR(VLOOKUP($G169,'القوائم'!$E$5:$F$7,2,FALSE),0)+IFERROR(VLOOKUP($H169,'القوائم'!$G$5:$H$7,2,FALSE),0))</f>
        <v/>
      </c>
      <c r="J169" s="7" t="n"/>
      <c r="K169" s="5" t="n"/>
      <c r="L169" s="5" t="n"/>
      <c r="M169" s="5" t="n"/>
      <c r="N169" s="11">
        <f>IF($A169="","",IF(COUNTIFS('مقدّمو الطلبات'!$A$5:$A$204,$A169,'مقدّمو الطلبات'!$J$5:$J$204,"&lt;&gt;")=0,"",SUMPRODUCT(MAX(('مقدّمو الطلبات'!$A$5:$A$204=$A169)*'مقدّمو الطلبات'!$J$5:$J$204))))</f>
        <v/>
      </c>
      <c r="O169" s="6">
        <f>IF($A169="","",COUNTIFS('مقدّمو الطلبات'!$A$5:$A$204,$A169,'مقدّمو الطلبات'!$K$5:$K$204,"لا"))</f>
        <v/>
      </c>
      <c r="P169" s="12">
        <f>IF($A169="","",IF($C169=0,"بلا مقدّمي طلب",IF($J169="","بلا قرار",IF($O169&gt;0,"ردود مستحقة",IF(OR($J169="غير مخطط لها",$J169="أُطلقت"),"مغلق","مفتوح")))))</f>
        <v/>
      </c>
      <c r="Q169" s="5" t="n"/>
      <c r="R169">
        <f>IF(ISNUMBER($I169),$I169+(1000-ROW())/100000,"")</f>
        <v/>
      </c>
    </row>
    <row r="170">
      <c r="A170" s="4" t="n"/>
      <c r="B170" s="5" t="n"/>
      <c r="C170" s="6">
        <f>IF($A170="","",COUNTIF('مقدّمو الطلبات'!$A$5:$A$204,$A170))</f>
        <v/>
      </c>
      <c r="D170" s="7" t="n"/>
      <c r="E170" s="5" t="n"/>
      <c r="F170" s="8">
        <f>IF($A170="","",SUMIFS('مقدّمو الطلبات'!$F$5:$F$204,'مقدّمو الطلبات'!$A$5:$A$204,$A170,'مقدّمو الطلبات'!$G$5:$G$204,"نعم"))</f>
        <v/>
      </c>
      <c r="G170" s="9" t="n"/>
      <c r="H170" s="9" t="n"/>
      <c r="I170" s="10">
        <f>IF(OR($A170="",$D170="",$E170="",$G170="",$H170=""),"",MIN($C170,'القوائم'!$N$5)+IFERROR(VLOOKUP($D170,'القوائم'!$A$5:$B$8,2,FALSE),0)+IFERROR(VLOOKUP($E170,'القوائم'!$C$5:$D$7,2,FALSE),0)+IF($F170&gt;='القوائم'!$N$6,2,IF($F170&gt;0,1,0))+IFERROR(VLOOKUP($G170,'القوائم'!$E$5:$F$7,2,FALSE),0)+IFERROR(VLOOKUP($H170,'القوائم'!$G$5:$H$7,2,FALSE),0))</f>
        <v/>
      </c>
      <c r="J170" s="7" t="n"/>
      <c r="K170" s="5" t="n"/>
      <c r="L170" s="5" t="n"/>
      <c r="M170" s="5" t="n"/>
      <c r="N170" s="11">
        <f>IF($A170="","",IF(COUNTIFS('مقدّمو الطلبات'!$A$5:$A$204,$A170,'مقدّمو الطلبات'!$J$5:$J$204,"&lt;&gt;")=0,"",SUMPRODUCT(MAX(('مقدّمو الطلبات'!$A$5:$A$204=$A170)*'مقدّمو الطلبات'!$J$5:$J$204))))</f>
        <v/>
      </c>
      <c r="O170" s="6">
        <f>IF($A170="","",COUNTIFS('مقدّمو الطلبات'!$A$5:$A$204,$A170,'مقدّمو الطلبات'!$K$5:$K$204,"لا"))</f>
        <v/>
      </c>
      <c r="P170" s="12">
        <f>IF($A170="","",IF($C170=0,"بلا مقدّمي طلب",IF($J170="","بلا قرار",IF($O170&gt;0,"ردود مستحقة",IF(OR($J170="غير مخطط لها",$J170="أُطلقت"),"مغلق","مفتوح")))))</f>
        <v/>
      </c>
      <c r="Q170" s="5" t="n"/>
      <c r="R170">
        <f>IF(ISNUMBER($I170),$I170+(1000-ROW())/100000,"")</f>
        <v/>
      </c>
    </row>
    <row r="171">
      <c r="A171" s="4" t="n"/>
      <c r="B171" s="5" t="n"/>
      <c r="C171" s="6">
        <f>IF($A171="","",COUNTIF('مقدّمو الطلبات'!$A$5:$A$204,$A171))</f>
        <v/>
      </c>
      <c r="D171" s="7" t="n"/>
      <c r="E171" s="5" t="n"/>
      <c r="F171" s="8">
        <f>IF($A171="","",SUMIFS('مقدّمو الطلبات'!$F$5:$F$204,'مقدّمو الطلبات'!$A$5:$A$204,$A171,'مقدّمو الطلبات'!$G$5:$G$204,"نعم"))</f>
        <v/>
      </c>
      <c r="G171" s="9" t="n"/>
      <c r="H171" s="9" t="n"/>
      <c r="I171" s="10">
        <f>IF(OR($A171="",$D171="",$E171="",$G171="",$H171=""),"",MIN($C171,'القوائم'!$N$5)+IFERROR(VLOOKUP($D171,'القوائم'!$A$5:$B$8,2,FALSE),0)+IFERROR(VLOOKUP($E171,'القوائم'!$C$5:$D$7,2,FALSE),0)+IF($F171&gt;='القوائم'!$N$6,2,IF($F171&gt;0,1,0))+IFERROR(VLOOKUP($G171,'القوائم'!$E$5:$F$7,2,FALSE),0)+IFERROR(VLOOKUP($H171,'القوائم'!$G$5:$H$7,2,FALSE),0))</f>
        <v/>
      </c>
      <c r="J171" s="7" t="n"/>
      <c r="K171" s="5" t="n"/>
      <c r="L171" s="5" t="n"/>
      <c r="M171" s="5" t="n"/>
      <c r="N171" s="11">
        <f>IF($A171="","",IF(COUNTIFS('مقدّمو الطلبات'!$A$5:$A$204,$A171,'مقدّمو الطلبات'!$J$5:$J$204,"&lt;&gt;")=0,"",SUMPRODUCT(MAX(('مقدّمو الطلبات'!$A$5:$A$204=$A171)*'مقدّمو الطلبات'!$J$5:$J$204))))</f>
        <v/>
      </c>
      <c r="O171" s="6">
        <f>IF($A171="","",COUNTIFS('مقدّمو الطلبات'!$A$5:$A$204,$A171,'مقدّمو الطلبات'!$K$5:$K$204,"لا"))</f>
        <v/>
      </c>
      <c r="P171" s="12">
        <f>IF($A171="","",IF($C171=0,"بلا مقدّمي طلب",IF($J171="","بلا قرار",IF($O171&gt;0,"ردود مستحقة",IF(OR($J171="غير مخطط لها",$J171="أُطلقت"),"مغلق","مفتوح")))))</f>
        <v/>
      </c>
      <c r="Q171" s="5" t="n"/>
      <c r="R171">
        <f>IF(ISNUMBER($I171),$I171+(1000-ROW())/100000,"")</f>
        <v/>
      </c>
    </row>
    <row r="172">
      <c r="A172" s="4" t="n"/>
      <c r="B172" s="5" t="n"/>
      <c r="C172" s="6">
        <f>IF($A172="","",COUNTIF('مقدّمو الطلبات'!$A$5:$A$204,$A172))</f>
        <v/>
      </c>
      <c r="D172" s="7" t="n"/>
      <c r="E172" s="5" t="n"/>
      <c r="F172" s="8">
        <f>IF($A172="","",SUMIFS('مقدّمو الطلبات'!$F$5:$F$204,'مقدّمو الطلبات'!$A$5:$A$204,$A172,'مقدّمو الطلبات'!$G$5:$G$204,"نعم"))</f>
        <v/>
      </c>
      <c r="G172" s="9" t="n"/>
      <c r="H172" s="9" t="n"/>
      <c r="I172" s="10">
        <f>IF(OR($A172="",$D172="",$E172="",$G172="",$H172=""),"",MIN($C172,'القوائم'!$N$5)+IFERROR(VLOOKUP($D172,'القوائم'!$A$5:$B$8,2,FALSE),0)+IFERROR(VLOOKUP($E172,'القوائم'!$C$5:$D$7,2,FALSE),0)+IF($F172&gt;='القوائم'!$N$6,2,IF($F172&gt;0,1,0))+IFERROR(VLOOKUP($G172,'القوائم'!$E$5:$F$7,2,FALSE),0)+IFERROR(VLOOKUP($H172,'القوائم'!$G$5:$H$7,2,FALSE),0))</f>
        <v/>
      </c>
      <c r="J172" s="7" t="n"/>
      <c r="K172" s="5" t="n"/>
      <c r="L172" s="5" t="n"/>
      <c r="M172" s="5" t="n"/>
      <c r="N172" s="11">
        <f>IF($A172="","",IF(COUNTIFS('مقدّمو الطلبات'!$A$5:$A$204,$A172,'مقدّمو الطلبات'!$J$5:$J$204,"&lt;&gt;")=0,"",SUMPRODUCT(MAX(('مقدّمو الطلبات'!$A$5:$A$204=$A172)*'مقدّمو الطلبات'!$J$5:$J$204))))</f>
        <v/>
      </c>
      <c r="O172" s="6">
        <f>IF($A172="","",COUNTIFS('مقدّمو الطلبات'!$A$5:$A$204,$A172,'مقدّمو الطلبات'!$K$5:$K$204,"لا"))</f>
        <v/>
      </c>
      <c r="P172" s="12">
        <f>IF($A172="","",IF($C172=0,"بلا مقدّمي طلب",IF($J172="","بلا قرار",IF($O172&gt;0,"ردود مستحقة",IF(OR($J172="غير مخطط لها",$J172="أُطلقت"),"مغلق","مفتوح")))))</f>
        <v/>
      </c>
      <c r="Q172" s="5" t="n"/>
      <c r="R172">
        <f>IF(ISNUMBER($I172),$I172+(1000-ROW())/100000,"")</f>
        <v/>
      </c>
    </row>
    <row r="173">
      <c r="A173" s="4" t="n"/>
      <c r="B173" s="5" t="n"/>
      <c r="C173" s="6">
        <f>IF($A173="","",COUNTIF('مقدّمو الطلبات'!$A$5:$A$204,$A173))</f>
        <v/>
      </c>
      <c r="D173" s="7" t="n"/>
      <c r="E173" s="5" t="n"/>
      <c r="F173" s="8">
        <f>IF($A173="","",SUMIFS('مقدّمو الطلبات'!$F$5:$F$204,'مقدّمو الطلبات'!$A$5:$A$204,$A173,'مقدّمو الطلبات'!$G$5:$G$204,"نعم"))</f>
        <v/>
      </c>
      <c r="G173" s="9" t="n"/>
      <c r="H173" s="9" t="n"/>
      <c r="I173" s="10">
        <f>IF(OR($A173="",$D173="",$E173="",$G173="",$H173=""),"",MIN($C173,'القوائم'!$N$5)+IFERROR(VLOOKUP($D173,'القوائم'!$A$5:$B$8,2,FALSE),0)+IFERROR(VLOOKUP($E173,'القوائم'!$C$5:$D$7,2,FALSE),0)+IF($F173&gt;='القوائم'!$N$6,2,IF($F173&gt;0,1,0))+IFERROR(VLOOKUP($G173,'القوائم'!$E$5:$F$7,2,FALSE),0)+IFERROR(VLOOKUP($H173,'القوائم'!$G$5:$H$7,2,FALSE),0))</f>
        <v/>
      </c>
      <c r="J173" s="7" t="n"/>
      <c r="K173" s="5" t="n"/>
      <c r="L173" s="5" t="n"/>
      <c r="M173" s="5" t="n"/>
      <c r="N173" s="11">
        <f>IF($A173="","",IF(COUNTIFS('مقدّمو الطلبات'!$A$5:$A$204,$A173,'مقدّمو الطلبات'!$J$5:$J$204,"&lt;&gt;")=0,"",SUMPRODUCT(MAX(('مقدّمو الطلبات'!$A$5:$A$204=$A173)*'مقدّمو الطلبات'!$J$5:$J$204))))</f>
        <v/>
      </c>
      <c r="O173" s="6">
        <f>IF($A173="","",COUNTIFS('مقدّمو الطلبات'!$A$5:$A$204,$A173,'مقدّمو الطلبات'!$K$5:$K$204,"لا"))</f>
        <v/>
      </c>
      <c r="P173" s="12">
        <f>IF($A173="","",IF($C173=0,"بلا مقدّمي طلب",IF($J173="","بلا قرار",IF($O173&gt;0,"ردود مستحقة",IF(OR($J173="غير مخطط لها",$J173="أُطلقت"),"مغلق","مفتوح")))))</f>
        <v/>
      </c>
      <c r="Q173" s="5" t="n"/>
      <c r="R173">
        <f>IF(ISNUMBER($I173),$I173+(1000-ROW())/100000,"")</f>
        <v/>
      </c>
    </row>
    <row r="174">
      <c r="A174" s="4" t="n"/>
      <c r="B174" s="5" t="n"/>
      <c r="C174" s="6">
        <f>IF($A174="","",COUNTIF('مقدّمو الطلبات'!$A$5:$A$204,$A174))</f>
        <v/>
      </c>
      <c r="D174" s="7" t="n"/>
      <c r="E174" s="5" t="n"/>
      <c r="F174" s="8">
        <f>IF($A174="","",SUMIFS('مقدّمو الطلبات'!$F$5:$F$204,'مقدّمو الطلبات'!$A$5:$A$204,$A174,'مقدّمو الطلبات'!$G$5:$G$204,"نعم"))</f>
        <v/>
      </c>
      <c r="G174" s="9" t="n"/>
      <c r="H174" s="9" t="n"/>
      <c r="I174" s="10">
        <f>IF(OR($A174="",$D174="",$E174="",$G174="",$H174=""),"",MIN($C174,'القوائم'!$N$5)+IFERROR(VLOOKUP($D174,'القوائم'!$A$5:$B$8,2,FALSE),0)+IFERROR(VLOOKUP($E174,'القوائم'!$C$5:$D$7,2,FALSE),0)+IF($F174&gt;='القوائم'!$N$6,2,IF($F174&gt;0,1,0))+IFERROR(VLOOKUP($G174,'القوائم'!$E$5:$F$7,2,FALSE),0)+IFERROR(VLOOKUP($H174,'القوائم'!$G$5:$H$7,2,FALSE),0))</f>
        <v/>
      </c>
      <c r="J174" s="7" t="n"/>
      <c r="K174" s="5" t="n"/>
      <c r="L174" s="5" t="n"/>
      <c r="M174" s="5" t="n"/>
      <c r="N174" s="11">
        <f>IF($A174="","",IF(COUNTIFS('مقدّمو الطلبات'!$A$5:$A$204,$A174,'مقدّمو الطلبات'!$J$5:$J$204,"&lt;&gt;")=0,"",SUMPRODUCT(MAX(('مقدّمو الطلبات'!$A$5:$A$204=$A174)*'مقدّمو الطلبات'!$J$5:$J$204))))</f>
        <v/>
      </c>
      <c r="O174" s="6">
        <f>IF($A174="","",COUNTIFS('مقدّمو الطلبات'!$A$5:$A$204,$A174,'مقدّمو الطلبات'!$K$5:$K$204,"لا"))</f>
        <v/>
      </c>
      <c r="P174" s="12">
        <f>IF($A174="","",IF($C174=0,"بلا مقدّمي طلب",IF($J174="","بلا قرار",IF($O174&gt;0,"ردود مستحقة",IF(OR($J174="غير مخطط لها",$J174="أُطلقت"),"مغلق","مفتوح")))))</f>
        <v/>
      </c>
      <c r="Q174" s="5" t="n"/>
      <c r="R174">
        <f>IF(ISNUMBER($I174),$I174+(1000-ROW())/100000,"")</f>
        <v/>
      </c>
    </row>
    <row r="175">
      <c r="A175" s="4" t="n"/>
      <c r="B175" s="5" t="n"/>
      <c r="C175" s="6">
        <f>IF($A175="","",COUNTIF('مقدّمو الطلبات'!$A$5:$A$204,$A175))</f>
        <v/>
      </c>
      <c r="D175" s="7" t="n"/>
      <c r="E175" s="5" t="n"/>
      <c r="F175" s="8">
        <f>IF($A175="","",SUMIFS('مقدّمو الطلبات'!$F$5:$F$204,'مقدّمو الطلبات'!$A$5:$A$204,$A175,'مقدّمو الطلبات'!$G$5:$G$204,"نعم"))</f>
        <v/>
      </c>
      <c r="G175" s="9" t="n"/>
      <c r="H175" s="9" t="n"/>
      <c r="I175" s="10">
        <f>IF(OR($A175="",$D175="",$E175="",$G175="",$H175=""),"",MIN($C175,'القوائم'!$N$5)+IFERROR(VLOOKUP($D175,'القوائم'!$A$5:$B$8,2,FALSE),0)+IFERROR(VLOOKUP($E175,'القوائم'!$C$5:$D$7,2,FALSE),0)+IF($F175&gt;='القوائم'!$N$6,2,IF($F175&gt;0,1,0))+IFERROR(VLOOKUP($G175,'القوائم'!$E$5:$F$7,2,FALSE),0)+IFERROR(VLOOKUP($H175,'القوائم'!$G$5:$H$7,2,FALSE),0))</f>
        <v/>
      </c>
      <c r="J175" s="7" t="n"/>
      <c r="K175" s="5" t="n"/>
      <c r="L175" s="5" t="n"/>
      <c r="M175" s="5" t="n"/>
      <c r="N175" s="11">
        <f>IF($A175="","",IF(COUNTIFS('مقدّمو الطلبات'!$A$5:$A$204,$A175,'مقدّمو الطلبات'!$J$5:$J$204,"&lt;&gt;")=0,"",SUMPRODUCT(MAX(('مقدّمو الطلبات'!$A$5:$A$204=$A175)*'مقدّمو الطلبات'!$J$5:$J$204))))</f>
        <v/>
      </c>
      <c r="O175" s="6">
        <f>IF($A175="","",COUNTIFS('مقدّمو الطلبات'!$A$5:$A$204,$A175,'مقدّمو الطلبات'!$K$5:$K$204,"لا"))</f>
        <v/>
      </c>
      <c r="P175" s="12">
        <f>IF($A175="","",IF($C175=0,"بلا مقدّمي طلب",IF($J175="","بلا قرار",IF($O175&gt;0,"ردود مستحقة",IF(OR($J175="غير مخطط لها",$J175="أُطلقت"),"مغلق","مفتوح")))))</f>
        <v/>
      </c>
      <c r="Q175" s="5" t="n"/>
      <c r="R175">
        <f>IF(ISNUMBER($I175),$I175+(1000-ROW())/100000,"")</f>
        <v/>
      </c>
    </row>
    <row r="176">
      <c r="A176" s="4" t="n"/>
      <c r="B176" s="5" t="n"/>
      <c r="C176" s="6">
        <f>IF($A176="","",COUNTIF('مقدّمو الطلبات'!$A$5:$A$204,$A176))</f>
        <v/>
      </c>
      <c r="D176" s="7" t="n"/>
      <c r="E176" s="5" t="n"/>
      <c r="F176" s="8">
        <f>IF($A176="","",SUMIFS('مقدّمو الطلبات'!$F$5:$F$204,'مقدّمو الطلبات'!$A$5:$A$204,$A176,'مقدّمو الطلبات'!$G$5:$G$204,"نعم"))</f>
        <v/>
      </c>
      <c r="G176" s="9" t="n"/>
      <c r="H176" s="9" t="n"/>
      <c r="I176" s="10">
        <f>IF(OR($A176="",$D176="",$E176="",$G176="",$H176=""),"",MIN($C176,'القوائم'!$N$5)+IFERROR(VLOOKUP($D176,'القوائم'!$A$5:$B$8,2,FALSE),0)+IFERROR(VLOOKUP($E176,'القوائم'!$C$5:$D$7,2,FALSE),0)+IF($F176&gt;='القوائم'!$N$6,2,IF($F176&gt;0,1,0))+IFERROR(VLOOKUP($G176,'القوائم'!$E$5:$F$7,2,FALSE),0)+IFERROR(VLOOKUP($H176,'القوائم'!$G$5:$H$7,2,FALSE),0))</f>
        <v/>
      </c>
      <c r="J176" s="7" t="n"/>
      <c r="K176" s="5" t="n"/>
      <c r="L176" s="5" t="n"/>
      <c r="M176" s="5" t="n"/>
      <c r="N176" s="11">
        <f>IF($A176="","",IF(COUNTIFS('مقدّمو الطلبات'!$A$5:$A$204,$A176,'مقدّمو الطلبات'!$J$5:$J$204,"&lt;&gt;")=0,"",SUMPRODUCT(MAX(('مقدّمو الطلبات'!$A$5:$A$204=$A176)*'مقدّمو الطلبات'!$J$5:$J$204))))</f>
        <v/>
      </c>
      <c r="O176" s="6">
        <f>IF($A176="","",COUNTIFS('مقدّمو الطلبات'!$A$5:$A$204,$A176,'مقدّمو الطلبات'!$K$5:$K$204,"لا"))</f>
        <v/>
      </c>
      <c r="P176" s="12">
        <f>IF($A176="","",IF($C176=0,"بلا مقدّمي طلب",IF($J176="","بلا قرار",IF($O176&gt;0,"ردود مستحقة",IF(OR($J176="غير مخطط لها",$J176="أُطلقت"),"مغلق","مفتوح")))))</f>
        <v/>
      </c>
      <c r="Q176" s="5" t="n"/>
      <c r="R176">
        <f>IF(ISNUMBER($I176),$I176+(1000-ROW())/100000,"")</f>
        <v/>
      </c>
    </row>
    <row r="177">
      <c r="A177" s="4" t="n"/>
      <c r="B177" s="5" t="n"/>
      <c r="C177" s="6">
        <f>IF($A177="","",COUNTIF('مقدّمو الطلبات'!$A$5:$A$204,$A177))</f>
        <v/>
      </c>
      <c r="D177" s="7" t="n"/>
      <c r="E177" s="5" t="n"/>
      <c r="F177" s="8">
        <f>IF($A177="","",SUMIFS('مقدّمو الطلبات'!$F$5:$F$204,'مقدّمو الطلبات'!$A$5:$A$204,$A177,'مقدّمو الطلبات'!$G$5:$G$204,"نعم"))</f>
        <v/>
      </c>
      <c r="G177" s="9" t="n"/>
      <c r="H177" s="9" t="n"/>
      <c r="I177" s="10">
        <f>IF(OR($A177="",$D177="",$E177="",$G177="",$H177=""),"",MIN($C177,'القوائم'!$N$5)+IFERROR(VLOOKUP($D177,'القوائم'!$A$5:$B$8,2,FALSE),0)+IFERROR(VLOOKUP($E177,'القوائم'!$C$5:$D$7,2,FALSE),0)+IF($F177&gt;='القوائم'!$N$6,2,IF($F177&gt;0,1,0))+IFERROR(VLOOKUP($G177,'القوائم'!$E$5:$F$7,2,FALSE),0)+IFERROR(VLOOKUP($H177,'القوائم'!$G$5:$H$7,2,FALSE),0))</f>
        <v/>
      </c>
      <c r="J177" s="7" t="n"/>
      <c r="K177" s="5" t="n"/>
      <c r="L177" s="5" t="n"/>
      <c r="M177" s="5" t="n"/>
      <c r="N177" s="11">
        <f>IF($A177="","",IF(COUNTIFS('مقدّمو الطلبات'!$A$5:$A$204,$A177,'مقدّمو الطلبات'!$J$5:$J$204,"&lt;&gt;")=0,"",SUMPRODUCT(MAX(('مقدّمو الطلبات'!$A$5:$A$204=$A177)*'مقدّمو الطلبات'!$J$5:$J$204))))</f>
        <v/>
      </c>
      <c r="O177" s="6">
        <f>IF($A177="","",COUNTIFS('مقدّمو الطلبات'!$A$5:$A$204,$A177,'مقدّمو الطلبات'!$K$5:$K$204,"لا"))</f>
        <v/>
      </c>
      <c r="P177" s="12">
        <f>IF($A177="","",IF($C177=0,"بلا مقدّمي طلب",IF($J177="","بلا قرار",IF($O177&gt;0,"ردود مستحقة",IF(OR($J177="غير مخطط لها",$J177="أُطلقت"),"مغلق","مفتوح")))))</f>
        <v/>
      </c>
      <c r="Q177" s="5" t="n"/>
      <c r="R177">
        <f>IF(ISNUMBER($I177),$I177+(1000-ROW())/100000,"")</f>
        <v/>
      </c>
    </row>
    <row r="178">
      <c r="A178" s="4" t="n"/>
      <c r="B178" s="5" t="n"/>
      <c r="C178" s="6">
        <f>IF($A178="","",COUNTIF('مقدّمو الطلبات'!$A$5:$A$204,$A178))</f>
        <v/>
      </c>
      <c r="D178" s="7" t="n"/>
      <c r="E178" s="5" t="n"/>
      <c r="F178" s="8">
        <f>IF($A178="","",SUMIFS('مقدّمو الطلبات'!$F$5:$F$204,'مقدّمو الطلبات'!$A$5:$A$204,$A178,'مقدّمو الطلبات'!$G$5:$G$204,"نعم"))</f>
        <v/>
      </c>
      <c r="G178" s="9" t="n"/>
      <c r="H178" s="9" t="n"/>
      <c r="I178" s="10">
        <f>IF(OR($A178="",$D178="",$E178="",$G178="",$H178=""),"",MIN($C178,'القوائم'!$N$5)+IFERROR(VLOOKUP($D178,'القوائم'!$A$5:$B$8,2,FALSE),0)+IFERROR(VLOOKUP($E178,'القوائم'!$C$5:$D$7,2,FALSE),0)+IF($F178&gt;='القوائم'!$N$6,2,IF($F178&gt;0,1,0))+IFERROR(VLOOKUP($G178,'القوائم'!$E$5:$F$7,2,FALSE),0)+IFERROR(VLOOKUP($H178,'القوائم'!$G$5:$H$7,2,FALSE),0))</f>
        <v/>
      </c>
      <c r="J178" s="7" t="n"/>
      <c r="K178" s="5" t="n"/>
      <c r="L178" s="5" t="n"/>
      <c r="M178" s="5" t="n"/>
      <c r="N178" s="11">
        <f>IF($A178="","",IF(COUNTIFS('مقدّمو الطلبات'!$A$5:$A$204,$A178,'مقدّمو الطلبات'!$J$5:$J$204,"&lt;&gt;")=0,"",SUMPRODUCT(MAX(('مقدّمو الطلبات'!$A$5:$A$204=$A178)*'مقدّمو الطلبات'!$J$5:$J$204))))</f>
        <v/>
      </c>
      <c r="O178" s="6">
        <f>IF($A178="","",COUNTIFS('مقدّمو الطلبات'!$A$5:$A$204,$A178,'مقدّمو الطلبات'!$K$5:$K$204,"لا"))</f>
        <v/>
      </c>
      <c r="P178" s="12">
        <f>IF($A178="","",IF($C178=0,"بلا مقدّمي طلب",IF($J178="","بلا قرار",IF($O178&gt;0,"ردود مستحقة",IF(OR($J178="غير مخطط لها",$J178="أُطلقت"),"مغلق","مفتوح")))))</f>
        <v/>
      </c>
      <c r="Q178" s="5" t="n"/>
      <c r="R178">
        <f>IF(ISNUMBER($I178),$I178+(1000-ROW())/100000,"")</f>
        <v/>
      </c>
    </row>
    <row r="179">
      <c r="A179" s="4" t="n"/>
      <c r="B179" s="5" t="n"/>
      <c r="C179" s="6">
        <f>IF($A179="","",COUNTIF('مقدّمو الطلبات'!$A$5:$A$204,$A179))</f>
        <v/>
      </c>
      <c r="D179" s="7" t="n"/>
      <c r="E179" s="5" t="n"/>
      <c r="F179" s="8">
        <f>IF($A179="","",SUMIFS('مقدّمو الطلبات'!$F$5:$F$204,'مقدّمو الطلبات'!$A$5:$A$204,$A179,'مقدّمو الطلبات'!$G$5:$G$204,"نعم"))</f>
        <v/>
      </c>
      <c r="G179" s="9" t="n"/>
      <c r="H179" s="9" t="n"/>
      <c r="I179" s="10">
        <f>IF(OR($A179="",$D179="",$E179="",$G179="",$H179=""),"",MIN($C179,'القوائم'!$N$5)+IFERROR(VLOOKUP($D179,'القوائم'!$A$5:$B$8,2,FALSE),0)+IFERROR(VLOOKUP($E179,'القوائم'!$C$5:$D$7,2,FALSE),0)+IF($F179&gt;='القوائم'!$N$6,2,IF($F179&gt;0,1,0))+IFERROR(VLOOKUP($G179,'القوائم'!$E$5:$F$7,2,FALSE),0)+IFERROR(VLOOKUP($H179,'القوائم'!$G$5:$H$7,2,FALSE),0))</f>
        <v/>
      </c>
      <c r="J179" s="7" t="n"/>
      <c r="K179" s="5" t="n"/>
      <c r="L179" s="5" t="n"/>
      <c r="M179" s="5" t="n"/>
      <c r="N179" s="11">
        <f>IF($A179="","",IF(COUNTIFS('مقدّمو الطلبات'!$A$5:$A$204,$A179,'مقدّمو الطلبات'!$J$5:$J$204,"&lt;&gt;")=0,"",SUMPRODUCT(MAX(('مقدّمو الطلبات'!$A$5:$A$204=$A179)*'مقدّمو الطلبات'!$J$5:$J$204))))</f>
        <v/>
      </c>
      <c r="O179" s="6">
        <f>IF($A179="","",COUNTIFS('مقدّمو الطلبات'!$A$5:$A$204,$A179,'مقدّمو الطلبات'!$K$5:$K$204,"لا"))</f>
        <v/>
      </c>
      <c r="P179" s="12">
        <f>IF($A179="","",IF($C179=0,"بلا مقدّمي طلب",IF($J179="","بلا قرار",IF($O179&gt;0,"ردود مستحقة",IF(OR($J179="غير مخطط لها",$J179="أُطلقت"),"مغلق","مفتوح")))))</f>
        <v/>
      </c>
      <c r="Q179" s="5" t="n"/>
      <c r="R179">
        <f>IF(ISNUMBER($I179),$I179+(1000-ROW())/100000,"")</f>
        <v/>
      </c>
    </row>
    <row r="180">
      <c r="A180" s="4" t="n"/>
      <c r="B180" s="5" t="n"/>
      <c r="C180" s="6">
        <f>IF($A180="","",COUNTIF('مقدّمو الطلبات'!$A$5:$A$204,$A180))</f>
        <v/>
      </c>
      <c r="D180" s="7" t="n"/>
      <c r="E180" s="5" t="n"/>
      <c r="F180" s="8">
        <f>IF($A180="","",SUMIFS('مقدّمو الطلبات'!$F$5:$F$204,'مقدّمو الطلبات'!$A$5:$A$204,$A180,'مقدّمو الطلبات'!$G$5:$G$204,"نعم"))</f>
        <v/>
      </c>
      <c r="G180" s="9" t="n"/>
      <c r="H180" s="9" t="n"/>
      <c r="I180" s="10">
        <f>IF(OR($A180="",$D180="",$E180="",$G180="",$H180=""),"",MIN($C180,'القوائم'!$N$5)+IFERROR(VLOOKUP($D180,'القوائم'!$A$5:$B$8,2,FALSE),0)+IFERROR(VLOOKUP($E180,'القوائم'!$C$5:$D$7,2,FALSE),0)+IF($F180&gt;='القوائم'!$N$6,2,IF($F180&gt;0,1,0))+IFERROR(VLOOKUP($G180,'القوائم'!$E$5:$F$7,2,FALSE),0)+IFERROR(VLOOKUP($H180,'القوائم'!$G$5:$H$7,2,FALSE),0))</f>
        <v/>
      </c>
      <c r="J180" s="7" t="n"/>
      <c r="K180" s="5" t="n"/>
      <c r="L180" s="5" t="n"/>
      <c r="M180" s="5" t="n"/>
      <c r="N180" s="11">
        <f>IF($A180="","",IF(COUNTIFS('مقدّمو الطلبات'!$A$5:$A$204,$A180,'مقدّمو الطلبات'!$J$5:$J$204,"&lt;&gt;")=0,"",SUMPRODUCT(MAX(('مقدّمو الطلبات'!$A$5:$A$204=$A180)*'مقدّمو الطلبات'!$J$5:$J$204))))</f>
        <v/>
      </c>
      <c r="O180" s="6">
        <f>IF($A180="","",COUNTIFS('مقدّمو الطلبات'!$A$5:$A$204,$A180,'مقدّمو الطلبات'!$K$5:$K$204,"لا"))</f>
        <v/>
      </c>
      <c r="P180" s="12">
        <f>IF($A180="","",IF($C180=0,"بلا مقدّمي طلب",IF($J180="","بلا قرار",IF($O180&gt;0,"ردود مستحقة",IF(OR($J180="غير مخطط لها",$J180="أُطلقت"),"مغلق","مفتوح")))))</f>
        <v/>
      </c>
      <c r="Q180" s="5" t="n"/>
      <c r="R180">
        <f>IF(ISNUMBER($I180),$I180+(1000-ROW())/100000,"")</f>
        <v/>
      </c>
    </row>
    <row r="181">
      <c r="A181" s="4" t="n"/>
      <c r="B181" s="5" t="n"/>
      <c r="C181" s="6">
        <f>IF($A181="","",COUNTIF('مقدّمو الطلبات'!$A$5:$A$204,$A181))</f>
        <v/>
      </c>
      <c r="D181" s="7" t="n"/>
      <c r="E181" s="5" t="n"/>
      <c r="F181" s="8">
        <f>IF($A181="","",SUMIFS('مقدّمو الطلبات'!$F$5:$F$204,'مقدّمو الطلبات'!$A$5:$A$204,$A181,'مقدّمو الطلبات'!$G$5:$G$204,"نعم"))</f>
        <v/>
      </c>
      <c r="G181" s="9" t="n"/>
      <c r="H181" s="9" t="n"/>
      <c r="I181" s="10">
        <f>IF(OR($A181="",$D181="",$E181="",$G181="",$H181=""),"",MIN($C181,'القوائم'!$N$5)+IFERROR(VLOOKUP($D181,'القوائم'!$A$5:$B$8,2,FALSE),0)+IFERROR(VLOOKUP($E181,'القوائم'!$C$5:$D$7,2,FALSE),0)+IF($F181&gt;='القوائم'!$N$6,2,IF($F181&gt;0,1,0))+IFERROR(VLOOKUP($G181,'القوائم'!$E$5:$F$7,2,FALSE),0)+IFERROR(VLOOKUP($H181,'القوائم'!$G$5:$H$7,2,FALSE),0))</f>
        <v/>
      </c>
      <c r="J181" s="7" t="n"/>
      <c r="K181" s="5" t="n"/>
      <c r="L181" s="5" t="n"/>
      <c r="M181" s="5" t="n"/>
      <c r="N181" s="11">
        <f>IF($A181="","",IF(COUNTIFS('مقدّمو الطلبات'!$A$5:$A$204,$A181,'مقدّمو الطلبات'!$J$5:$J$204,"&lt;&gt;")=0,"",SUMPRODUCT(MAX(('مقدّمو الطلبات'!$A$5:$A$204=$A181)*'مقدّمو الطلبات'!$J$5:$J$204))))</f>
        <v/>
      </c>
      <c r="O181" s="6">
        <f>IF($A181="","",COUNTIFS('مقدّمو الطلبات'!$A$5:$A$204,$A181,'مقدّمو الطلبات'!$K$5:$K$204,"لا"))</f>
        <v/>
      </c>
      <c r="P181" s="12">
        <f>IF($A181="","",IF($C181=0,"بلا مقدّمي طلب",IF($J181="","بلا قرار",IF($O181&gt;0,"ردود مستحقة",IF(OR($J181="غير مخطط لها",$J181="أُطلقت"),"مغلق","مفتوح")))))</f>
        <v/>
      </c>
      <c r="Q181" s="5" t="n"/>
      <c r="R181">
        <f>IF(ISNUMBER($I181),$I181+(1000-ROW())/100000,"")</f>
        <v/>
      </c>
    </row>
    <row r="182">
      <c r="A182" s="4" t="n"/>
      <c r="B182" s="5" t="n"/>
      <c r="C182" s="6">
        <f>IF($A182="","",COUNTIF('مقدّمو الطلبات'!$A$5:$A$204,$A182))</f>
        <v/>
      </c>
      <c r="D182" s="7" t="n"/>
      <c r="E182" s="5" t="n"/>
      <c r="F182" s="8">
        <f>IF($A182="","",SUMIFS('مقدّمو الطلبات'!$F$5:$F$204,'مقدّمو الطلبات'!$A$5:$A$204,$A182,'مقدّمو الطلبات'!$G$5:$G$204,"نعم"))</f>
        <v/>
      </c>
      <c r="G182" s="9" t="n"/>
      <c r="H182" s="9" t="n"/>
      <c r="I182" s="10">
        <f>IF(OR($A182="",$D182="",$E182="",$G182="",$H182=""),"",MIN($C182,'القوائم'!$N$5)+IFERROR(VLOOKUP($D182,'القوائم'!$A$5:$B$8,2,FALSE),0)+IFERROR(VLOOKUP($E182,'القوائم'!$C$5:$D$7,2,FALSE),0)+IF($F182&gt;='القوائم'!$N$6,2,IF($F182&gt;0,1,0))+IFERROR(VLOOKUP($G182,'القوائم'!$E$5:$F$7,2,FALSE),0)+IFERROR(VLOOKUP($H182,'القوائم'!$G$5:$H$7,2,FALSE),0))</f>
        <v/>
      </c>
      <c r="J182" s="7" t="n"/>
      <c r="K182" s="5" t="n"/>
      <c r="L182" s="5" t="n"/>
      <c r="M182" s="5" t="n"/>
      <c r="N182" s="11">
        <f>IF($A182="","",IF(COUNTIFS('مقدّمو الطلبات'!$A$5:$A$204,$A182,'مقدّمو الطلبات'!$J$5:$J$204,"&lt;&gt;")=0,"",SUMPRODUCT(MAX(('مقدّمو الطلبات'!$A$5:$A$204=$A182)*'مقدّمو الطلبات'!$J$5:$J$204))))</f>
        <v/>
      </c>
      <c r="O182" s="6">
        <f>IF($A182="","",COUNTIFS('مقدّمو الطلبات'!$A$5:$A$204,$A182,'مقدّمو الطلبات'!$K$5:$K$204,"لا"))</f>
        <v/>
      </c>
      <c r="P182" s="12">
        <f>IF($A182="","",IF($C182=0,"بلا مقدّمي طلب",IF($J182="","بلا قرار",IF($O182&gt;0,"ردود مستحقة",IF(OR($J182="غير مخطط لها",$J182="أُطلقت"),"مغلق","مفتوح")))))</f>
        <v/>
      </c>
      <c r="Q182" s="5" t="n"/>
      <c r="R182">
        <f>IF(ISNUMBER($I182),$I182+(1000-ROW())/100000,"")</f>
        <v/>
      </c>
    </row>
    <row r="183">
      <c r="A183" s="4" t="n"/>
      <c r="B183" s="5" t="n"/>
      <c r="C183" s="6">
        <f>IF($A183="","",COUNTIF('مقدّمو الطلبات'!$A$5:$A$204,$A183))</f>
        <v/>
      </c>
      <c r="D183" s="7" t="n"/>
      <c r="E183" s="5" t="n"/>
      <c r="F183" s="8">
        <f>IF($A183="","",SUMIFS('مقدّمو الطلبات'!$F$5:$F$204,'مقدّمو الطلبات'!$A$5:$A$204,$A183,'مقدّمو الطلبات'!$G$5:$G$204,"نعم"))</f>
        <v/>
      </c>
      <c r="G183" s="9" t="n"/>
      <c r="H183" s="9" t="n"/>
      <c r="I183" s="10">
        <f>IF(OR($A183="",$D183="",$E183="",$G183="",$H183=""),"",MIN($C183,'القوائم'!$N$5)+IFERROR(VLOOKUP($D183,'القوائم'!$A$5:$B$8,2,FALSE),0)+IFERROR(VLOOKUP($E183,'القوائم'!$C$5:$D$7,2,FALSE),0)+IF($F183&gt;='القوائم'!$N$6,2,IF($F183&gt;0,1,0))+IFERROR(VLOOKUP($G183,'القوائم'!$E$5:$F$7,2,FALSE),0)+IFERROR(VLOOKUP($H183,'القوائم'!$G$5:$H$7,2,FALSE),0))</f>
        <v/>
      </c>
      <c r="J183" s="7" t="n"/>
      <c r="K183" s="5" t="n"/>
      <c r="L183" s="5" t="n"/>
      <c r="M183" s="5" t="n"/>
      <c r="N183" s="11">
        <f>IF($A183="","",IF(COUNTIFS('مقدّمو الطلبات'!$A$5:$A$204,$A183,'مقدّمو الطلبات'!$J$5:$J$204,"&lt;&gt;")=0,"",SUMPRODUCT(MAX(('مقدّمو الطلبات'!$A$5:$A$204=$A183)*'مقدّمو الطلبات'!$J$5:$J$204))))</f>
        <v/>
      </c>
      <c r="O183" s="6">
        <f>IF($A183="","",COUNTIFS('مقدّمو الطلبات'!$A$5:$A$204,$A183,'مقدّمو الطلبات'!$K$5:$K$204,"لا"))</f>
        <v/>
      </c>
      <c r="P183" s="12">
        <f>IF($A183="","",IF($C183=0,"بلا مقدّمي طلب",IF($J183="","بلا قرار",IF($O183&gt;0,"ردود مستحقة",IF(OR($J183="غير مخطط لها",$J183="أُطلقت"),"مغلق","مفتوح")))))</f>
        <v/>
      </c>
      <c r="Q183" s="5" t="n"/>
      <c r="R183">
        <f>IF(ISNUMBER($I183),$I183+(1000-ROW())/100000,"")</f>
        <v/>
      </c>
    </row>
    <row r="184">
      <c r="A184" s="4" t="n"/>
      <c r="B184" s="5" t="n"/>
      <c r="C184" s="6">
        <f>IF($A184="","",COUNTIF('مقدّمو الطلبات'!$A$5:$A$204,$A184))</f>
        <v/>
      </c>
      <c r="D184" s="7" t="n"/>
      <c r="E184" s="5" t="n"/>
      <c r="F184" s="8">
        <f>IF($A184="","",SUMIFS('مقدّمو الطلبات'!$F$5:$F$204,'مقدّمو الطلبات'!$A$5:$A$204,$A184,'مقدّمو الطلبات'!$G$5:$G$204,"نعم"))</f>
        <v/>
      </c>
      <c r="G184" s="9" t="n"/>
      <c r="H184" s="9" t="n"/>
      <c r="I184" s="10">
        <f>IF(OR($A184="",$D184="",$E184="",$G184="",$H184=""),"",MIN($C184,'القوائم'!$N$5)+IFERROR(VLOOKUP($D184,'القوائم'!$A$5:$B$8,2,FALSE),0)+IFERROR(VLOOKUP($E184,'القوائم'!$C$5:$D$7,2,FALSE),0)+IF($F184&gt;='القوائم'!$N$6,2,IF($F184&gt;0,1,0))+IFERROR(VLOOKUP($G184,'القوائم'!$E$5:$F$7,2,FALSE),0)+IFERROR(VLOOKUP($H184,'القوائم'!$G$5:$H$7,2,FALSE),0))</f>
        <v/>
      </c>
      <c r="J184" s="7" t="n"/>
      <c r="K184" s="5" t="n"/>
      <c r="L184" s="5" t="n"/>
      <c r="M184" s="5" t="n"/>
      <c r="N184" s="11">
        <f>IF($A184="","",IF(COUNTIFS('مقدّمو الطلبات'!$A$5:$A$204,$A184,'مقدّمو الطلبات'!$J$5:$J$204,"&lt;&gt;")=0,"",SUMPRODUCT(MAX(('مقدّمو الطلبات'!$A$5:$A$204=$A184)*'مقدّمو الطلبات'!$J$5:$J$204))))</f>
        <v/>
      </c>
      <c r="O184" s="6">
        <f>IF($A184="","",COUNTIFS('مقدّمو الطلبات'!$A$5:$A$204,$A184,'مقدّمو الطلبات'!$K$5:$K$204,"لا"))</f>
        <v/>
      </c>
      <c r="P184" s="12">
        <f>IF($A184="","",IF($C184=0,"بلا مقدّمي طلب",IF($J184="","بلا قرار",IF($O184&gt;0,"ردود مستحقة",IF(OR($J184="غير مخطط لها",$J184="أُطلقت"),"مغلق","مفتوح")))))</f>
        <v/>
      </c>
      <c r="Q184" s="5" t="n"/>
      <c r="R184">
        <f>IF(ISNUMBER($I184),$I184+(1000-ROW())/100000,"")</f>
        <v/>
      </c>
    </row>
    <row r="185">
      <c r="A185" s="4" t="n"/>
      <c r="B185" s="5" t="n"/>
      <c r="C185" s="6">
        <f>IF($A185="","",COUNTIF('مقدّمو الطلبات'!$A$5:$A$204,$A185))</f>
        <v/>
      </c>
      <c r="D185" s="7" t="n"/>
      <c r="E185" s="5" t="n"/>
      <c r="F185" s="8">
        <f>IF($A185="","",SUMIFS('مقدّمو الطلبات'!$F$5:$F$204,'مقدّمو الطلبات'!$A$5:$A$204,$A185,'مقدّمو الطلبات'!$G$5:$G$204,"نعم"))</f>
        <v/>
      </c>
      <c r="G185" s="9" t="n"/>
      <c r="H185" s="9" t="n"/>
      <c r="I185" s="10">
        <f>IF(OR($A185="",$D185="",$E185="",$G185="",$H185=""),"",MIN($C185,'القوائم'!$N$5)+IFERROR(VLOOKUP($D185,'القوائم'!$A$5:$B$8,2,FALSE),0)+IFERROR(VLOOKUP($E185,'القوائم'!$C$5:$D$7,2,FALSE),0)+IF($F185&gt;='القوائم'!$N$6,2,IF($F185&gt;0,1,0))+IFERROR(VLOOKUP($G185,'القوائم'!$E$5:$F$7,2,FALSE),0)+IFERROR(VLOOKUP($H185,'القوائم'!$G$5:$H$7,2,FALSE),0))</f>
        <v/>
      </c>
      <c r="J185" s="7" t="n"/>
      <c r="K185" s="5" t="n"/>
      <c r="L185" s="5" t="n"/>
      <c r="M185" s="5" t="n"/>
      <c r="N185" s="11">
        <f>IF($A185="","",IF(COUNTIFS('مقدّمو الطلبات'!$A$5:$A$204,$A185,'مقدّمو الطلبات'!$J$5:$J$204,"&lt;&gt;")=0,"",SUMPRODUCT(MAX(('مقدّمو الطلبات'!$A$5:$A$204=$A185)*'مقدّمو الطلبات'!$J$5:$J$204))))</f>
        <v/>
      </c>
      <c r="O185" s="6">
        <f>IF($A185="","",COUNTIFS('مقدّمو الطلبات'!$A$5:$A$204,$A185,'مقدّمو الطلبات'!$K$5:$K$204,"لا"))</f>
        <v/>
      </c>
      <c r="P185" s="12">
        <f>IF($A185="","",IF($C185=0,"بلا مقدّمي طلب",IF($J185="","بلا قرار",IF($O185&gt;0,"ردود مستحقة",IF(OR($J185="غير مخطط لها",$J185="أُطلقت"),"مغلق","مفتوح")))))</f>
        <v/>
      </c>
      <c r="Q185" s="5" t="n"/>
      <c r="R185">
        <f>IF(ISNUMBER($I185),$I185+(1000-ROW())/100000,"")</f>
        <v/>
      </c>
    </row>
    <row r="186">
      <c r="A186" s="4" t="n"/>
      <c r="B186" s="5" t="n"/>
      <c r="C186" s="6">
        <f>IF($A186="","",COUNTIF('مقدّمو الطلبات'!$A$5:$A$204,$A186))</f>
        <v/>
      </c>
      <c r="D186" s="7" t="n"/>
      <c r="E186" s="5" t="n"/>
      <c r="F186" s="8">
        <f>IF($A186="","",SUMIFS('مقدّمو الطلبات'!$F$5:$F$204,'مقدّمو الطلبات'!$A$5:$A$204,$A186,'مقدّمو الطلبات'!$G$5:$G$204,"نعم"))</f>
        <v/>
      </c>
      <c r="G186" s="9" t="n"/>
      <c r="H186" s="9" t="n"/>
      <c r="I186" s="10">
        <f>IF(OR($A186="",$D186="",$E186="",$G186="",$H186=""),"",MIN($C186,'القوائم'!$N$5)+IFERROR(VLOOKUP($D186,'القوائم'!$A$5:$B$8,2,FALSE),0)+IFERROR(VLOOKUP($E186,'القوائم'!$C$5:$D$7,2,FALSE),0)+IF($F186&gt;='القوائم'!$N$6,2,IF($F186&gt;0,1,0))+IFERROR(VLOOKUP($G186,'القوائم'!$E$5:$F$7,2,FALSE),0)+IFERROR(VLOOKUP($H186,'القوائم'!$G$5:$H$7,2,FALSE),0))</f>
        <v/>
      </c>
      <c r="J186" s="7" t="n"/>
      <c r="K186" s="5" t="n"/>
      <c r="L186" s="5" t="n"/>
      <c r="M186" s="5" t="n"/>
      <c r="N186" s="11">
        <f>IF($A186="","",IF(COUNTIFS('مقدّمو الطلبات'!$A$5:$A$204,$A186,'مقدّمو الطلبات'!$J$5:$J$204,"&lt;&gt;")=0,"",SUMPRODUCT(MAX(('مقدّمو الطلبات'!$A$5:$A$204=$A186)*'مقدّمو الطلبات'!$J$5:$J$204))))</f>
        <v/>
      </c>
      <c r="O186" s="6">
        <f>IF($A186="","",COUNTIFS('مقدّمو الطلبات'!$A$5:$A$204,$A186,'مقدّمو الطلبات'!$K$5:$K$204,"لا"))</f>
        <v/>
      </c>
      <c r="P186" s="12">
        <f>IF($A186="","",IF($C186=0,"بلا مقدّمي طلب",IF($J186="","بلا قرار",IF($O186&gt;0,"ردود مستحقة",IF(OR($J186="غير مخطط لها",$J186="أُطلقت"),"مغلق","مفتوح")))))</f>
        <v/>
      </c>
      <c r="Q186" s="5" t="n"/>
      <c r="R186">
        <f>IF(ISNUMBER($I186),$I186+(1000-ROW())/100000,"")</f>
        <v/>
      </c>
    </row>
    <row r="187">
      <c r="A187" s="4" t="n"/>
      <c r="B187" s="5" t="n"/>
      <c r="C187" s="6">
        <f>IF($A187="","",COUNTIF('مقدّمو الطلبات'!$A$5:$A$204,$A187))</f>
        <v/>
      </c>
      <c r="D187" s="7" t="n"/>
      <c r="E187" s="5" t="n"/>
      <c r="F187" s="8">
        <f>IF($A187="","",SUMIFS('مقدّمو الطلبات'!$F$5:$F$204,'مقدّمو الطلبات'!$A$5:$A$204,$A187,'مقدّمو الطلبات'!$G$5:$G$204,"نعم"))</f>
        <v/>
      </c>
      <c r="G187" s="9" t="n"/>
      <c r="H187" s="9" t="n"/>
      <c r="I187" s="10">
        <f>IF(OR($A187="",$D187="",$E187="",$G187="",$H187=""),"",MIN($C187,'القوائم'!$N$5)+IFERROR(VLOOKUP($D187,'القوائم'!$A$5:$B$8,2,FALSE),0)+IFERROR(VLOOKUP($E187,'القوائم'!$C$5:$D$7,2,FALSE),0)+IF($F187&gt;='القوائم'!$N$6,2,IF($F187&gt;0,1,0))+IFERROR(VLOOKUP($G187,'القوائم'!$E$5:$F$7,2,FALSE),0)+IFERROR(VLOOKUP($H187,'القوائم'!$G$5:$H$7,2,FALSE),0))</f>
        <v/>
      </c>
      <c r="J187" s="7" t="n"/>
      <c r="K187" s="5" t="n"/>
      <c r="L187" s="5" t="n"/>
      <c r="M187" s="5" t="n"/>
      <c r="N187" s="11">
        <f>IF($A187="","",IF(COUNTIFS('مقدّمو الطلبات'!$A$5:$A$204,$A187,'مقدّمو الطلبات'!$J$5:$J$204,"&lt;&gt;")=0,"",SUMPRODUCT(MAX(('مقدّمو الطلبات'!$A$5:$A$204=$A187)*'مقدّمو الطلبات'!$J$5:$J$204))))</f>
        <v/>
      </c>
      <c r="O187" s="6">
        <f>IF($A187="","",COUNTIFS('مقدّمو الطلبات'!$A$5:$A$204,$A187,'مقدّمو الطلبات'!$K$5:$K$204,"لا"))</f>
        <v/>
      </c>
      <c r="P187" s="12">
        <f>IF($A187="","",IF($C187=0,"بلا مقدّمي طلب",IF($J187="","بلا قرار",IF($O187&gt;0,"ردود مستحقة",IF(OR($J187="غير مخطط لها",$J187="أُطلقت"),"مغلق","مفتوح")))))</f>
        <v/>
      </c>
      <c r="Q187" s="5" t="n"/>
      <c r="R187">
        <f>IF(ISNUMBER($I187),$I187+(1000-ROW())/100000,"")</f>
        <v/>
      </c>
    </row>
    <row r="188">
      <c r="A188" s="4" t="n"/>
      <c r="B188" s="5" t="n"/>
      <c r="C188" s="6">
        <f>IF($A188="","",COUNTIF('مقدّمو الطلبات'!$A$5:$A$204,$A188))</f>
        <v/>
      </c>
      <c r="D188" s="7" t="n"/>
      <c r="E188" s="5" t="n"/>
      <c r="F188" s="8">
        <f>IF($A188="","",SUMIFS('مقدّمو الطلبات'!$F$5:$F$204,'مقدّمو الطلبات'!$A$5:$A$204,$A188,'مقدّمو الطلبات'!$G$5:$G$204,"نعم"))</f>
        <v/>
      </c>
      <c r="G188" s="9" t="n"/>
      <c r="H188" s="9" t="n"/>
      <c r="I188" s="10">
        <f>IF(OR($A188="",$D188="",$E188="",$G188="",$H188=""),"",MIN($C188,'القوائم'!$N$5)+IFERROR(VLOOKUP($D188,'القوائم'!$A$5:$B$8,2,FALSE),0)+IFERROR(VLOOKUP($E188,'القوائم'!$C$5:$D$7,2,FALSE),0)+IF($F188&gt;='القوائم'!$N$6,2,IF($F188&gt;0,1,0))+IFERROR(VLOOKUP($G188,'القوائم'!$E$5:$F$7,2,FALSE),0)+IFERROR(VLOOKUP($H188,'القوائم'!$G$5:$H$7,2,FALSE),0))</f>
        <v/>
      </c>
      <c r="J188" s="7" t="n"/>
      <c r="K188" s="5" t="n"/>
      <c r="L188" s="5" t="n"/>
      <c r="M188" s="5" t="n"/>
      <c r="N188" s="11">
        <f>IF($A188="","",IF(COUNTIFS('مقدّمو الطلبات'!$A$5:$A$204,$A188,'مقدّمو الطلبات'!$J$5:$J$204,"&lt;&gt;")=0,"",SUMPRODUCT(MAX(('مقدّمو الطلبات'!$A$5:$A$204=$A188)*'مقدّمو الطلبات'!$J$5:$J$204))))</f>
        <v/>
      </c>
      <c r="O188" s="6">
        <f>IF($A188="","",COUNTIFS('مقدّمو الطلبات'!$A$5:$A$204,$A188,'مقدّمو الطلبات'!$K$5:$K$204,"لا"))</f>
        <v/>
      </c>
      <c r="P188" s="12">
        <f>IF($A188="","",IF($C188=0,"بلا مقدّمي طلب",IF($J188="","بلا قرار",IF($O188&gt;0,"ردود مستحقة",IF(OR($J188="غير مخطط لها",$J188="أُطلقت"),"مغلق","مفتوح")))))</f>
        <v/>
      </c>
      <c r="Q188" s="5" t="n"/>
      <c r="R188">
        <f>IF(ISNUMBER($I188),$I188+(1000-ROW())/100000,"")</f>
        <v/>
      </c>
    </row>
    <row r="189">
      <c r="A189" s="4" t="n"/>
      <c r="B189" s="5" t="n"/>
      <c r="C189" s="6">
        <f>IF($A189="","",COUNTIF('مقدّمو الطلبات'!$A$5:$A$204,$A189))</f>
        <v/>
      </c>
      <c r="D189" s="7" t="n"/>
      <c r="E189" s="5" t="n"/>
      <c r="F189" s="8">
        <f>IF($A189="","",SUMIFS('مقدّمو الطلبات'!$F$5:$F$204,'مقدّمو الطلبات'!$A$5:$A$204,$A189,'مقدّمو الطلبات'!$G$5:$G$204,"نعم"))</f>
        <v/>
      </c>
      <c r="G189" s="9" t="n"/>
      <c r="H189" s="9" t="n"/>
      <c r="I189" s="10">
        <f>IF(OR($A189="",$D189="",$E189="",$G189="",$H189=""),"",MIN($C189,'القوائم'!$N$5)+IFERROR(VLOOKUP($D189,'القوائم'!$A$5:$B$8,2,FALSE),0)+IFERROR(VLOOKUP($E189,'القوائم'!$C$5:$D$7,2,FALSE),0)+IF($F189&gt;='القوائم'!$N$6,2,IF($F189&gt;0,1,0))+IFERROR(VLOOKUP($G189,'القوائم'!$E$5:$F$7,2,FALSE),0)+IFERROR(VLOOKUP($H189,'القوائم'!$G$5:$H$7,2,FALSE),0))</f>
        <v/>
      </c>
      <c r="J189" s="7" t="n"/>
      <c r="K189" s="5" t="n"/>
      <c r="L189" s="5" t="n"/>
      <c r="M189" s="5" t="n"/>
      <c r="N189" s="11">
        <f>IF($A189="","",IF(COUNTIFS('مقدّمو الطلبات'!$A$5:$A$204,$A189,'مقدّمو الطلبات'!$J$5:$J$204,"&lt;&gt;")=0,"",SUMPRODUCT(MAX(('مقدّمو الطلبات'!$A$5:$A$204=$A189)*'مقدّمو الطلبات'!$J$5:$J$204))))</f>
        <v/>
      </c>
      <c r="O189" s="6">
        <f>IF($A189="","",COUNTIFS('مقدّمو الطلبات'!$A$5:$A$204,$A189,'مقدّمو الطلبات'!$K$5:$K$204,"لا"))</f>
        <v/>
      </c>
      <c r="P189" s="12">
        <f>IF($A189="","",IF($C189=0,"بلا مقدّمي طلب",IF($J189="","بلا قرار",IF($O189&gt;0,"ردود مستحقة",IF(OR($J189="غير مخطط لها",$J189="أُطلقت"),"مغلق","مفتوح")))))</f>
        <v/>
      </c>
      <c r="Q189" s="5" t="n"/>
      <c r="R189">
        <f>IF(ISNUMBER($I189),$I189+(1000-ROW())/100000,"")</f>
        <v/>
      </c>
    </row>
    <row r="190">
      <c r="A190" s="4" t="n"/>
      <c r="B190" s="5" t="n"/>
      <c r="C190" s="6">
        <f>IF($A190="","",COUNTIF('مقدّمو الطلبات'!$A$5:$A$204,$A190))</f>
        <v/>
      </c>
      <c r="D190" s="7" t="n"/>
      <c r="E190" s="5" t="n"/>
      <c r="F190" s="8">
        <f>IF($A190="","",SUMIFS('مقدّمو الطلبات'!$F$5:$F$204,'مقدّمو الطلبات'!$A$5:$A$204,$A190,'مقدّمو الطلبات'!$G$5:$G$204,"نعم"))</f>
        <v/>
      </c>
      <c r="G190" s="9" t="n"/>
      <c r="H190" s="9" t="n"/>
      <c r="I190" s="10">
        <f>IF(OR($A190="",$D190="",$E190="",$G190="",$H190=""),"",MIN($C190,'القوائم'!$N$5)+IFERROR(VLOOKUP($D190,'القوائم'!$A$5:$B$8,2,FALSE),0)+IFERROR(VLOOKUP($E190,'القوائم'!$C$5:$D$7,2,FALSE),0)+IF($F190&gt;='القوائم'!$N$6,2,IF($F190&gt;0,1,0))+IFERROR(VLOOKUP($G190,'القوائم'!$E$5:$F$7,2,FALSE),0)+IFERROR(VLOOKUP($H190,'القوائم'!$G$5:$H$7,2,FALSE),0))</f>
        <v/>
      </c>
      <c r="J190" s="7" t="n"/>
      <c r="K190" s="5" t="n"/>
      <c r="L190" s="5" t="n"/>
      <c r="M190" s="5" t="n"/>
      <c r="N190" s="11">
        <f>IF($A190="","",IF(COUNTIFS('مقدّمو الطلبات'!$A$5:$A$204,$A190,'مقدّمو الطلبات'!$J$5:$J$204,"&lt;&gt;")=0,"",SUMPRODUCT(MAX(('مقدّمو الطلبات'!$A$5:$A$204=$A190)*'مقدّمو الطلبات'!$J$5:$J$204))))</f>
        <v/>
      </c>
      <c r="O190" s="6">
        <f>IF($A190="","",COUNTIFS('مقدّمو الطلبات'!$A$5:$A$204,$A190,'مقدّمو الطلبات'!$K$5:$K$204,"لا"))</f>
        <v/>
      </c>
      <c r="P190" s="12">
        <f>IF($A190="","",IF($C190=0,"بلا مقدّمي طلب",IF($J190="","بلا قرار",IF($O190&gt;0,"ردود مستحقة",IF(OR($J190="غير مخطط لها",$J190="أُطلقت"),"مغلق","مفتوح")))))</f>
        <v/>
      </c>
      <c r="Q190" s="5" t="n"/>
      <c r="R190">
        <f>IF(ISNUMBER($I190),$I190+(1000-ROW())/100000,"")</f>
        <v/>
      </c>
    </row>
    <row r="191">
      <c r="A191" s="4" t="n"/>
      <c r="B191" s="5" t="n"/>
      <c r="C191" s="6">
        <f>IF($A191="","",COUNTIF('مقدّمو الطلبات'!$A$5:$A$204,$A191))</f>
        <v/>
      </c>
      <c r="D191" s="7" t="n"/>
      <c r="E191" s="5" t="n"/>
      <c r="F191" s="8">
        <f>IF($A191="","",SUMIFS('مقدّمو الطلبات'!$F$5:$F$204,'مقدّمو الطلبات'!$A$5:$A$204,$A191,'مقدّمو الطلبات'!$G$5:$G$204,"نعم"))</f>
        <v/>
      </c>
      <c r="G191" s="9" t="n"/>
      <c r="H191" s="9" t="n"/>
      <c r="I191" s="10">
        <f>IF(OR($A191="",$D191="",$E191="",$G191="",$H191=""),"",MIN($C191,'القوائم'!$N$5)+IFERROR(VLOOKUP($D191,'القوائم'!$A$5:$B$8,2,FALSE),0)+IFERROR(VLOOKUP($E191,'القوائم'!$C$5:$D$7,2,FALSE),0)+IF($F191&gt;='القوائم'!$N$6,2,IF($F191&gt;0,1,0))+IFERROR(VLOOKUP($G191,'القوائم'!$E$5:$F$7,2,FALSE),0)+IFERROR(VLOOKUP($H191,'القوائم'!$G$5:$H$7,2,FALSE),0))</f>
        <v/>
      </c>
      <c r="J191" s="7" t="n"/>
      <c r="K191" s="5" t="n"/>
      <c r="L191" s="5" t="n"/>
      <c r="M191" s="5" t="n"/>
      <c r="N191" s="11">
        <f>IF($A191="","",IF(COUNTIFS('مقدّمو الطلبات'!$A$5:$A$204,$A191,'مقدّمو الطلبات'!$J$5:$J$204,"&lt;&gt;")=0,"",SUMPRODUCT(MAX(('مقدّمو الطلبات'!$A$5:$A$204=$A191)*'مقدّمو الطلبات'!$J$5:$J$204))))</f>
        <v/>
      </c>
      <c r="O191" s="6">
        <f>IF($A191="","",COUNTIFS('مقدّمو الطلبات'!$A$5:$A$204,$A191,'مقدّمو الطلبات'!$K$5:$K$204,"لا"))</f>
        <v/>
      </c>
      <c r="P191" s="12">
        <f>IF($A191="","",IF($C191=0,"بلا مقدّمي طلب",IF($J191="","بلا قرار",IF($O191&gt;0,"ردود مستحقة",IF(OR($J191="غير مخطط لها",$J191="أُطلقت"),"مغلق","مفتوح")))))</f>
        <v/>
      </c>
      <c r="Q191" s="5" t="n"/>
      <c r="R191">
        <f>IF(ISNUMBER($I191),$I191+(1000-ROW())/100000,"")</f>
        <v/>
      </c>
    </row>
    <row r="192">
      <c r="A192" s="4" t="n"/>
      <c r="B192" s="5" t="n"/>
      <c r="C192" s="6">
        <f>IF($A192="","",COUNTIF('مقدّمو الطلبات'!$A$5:$A$204,$A192))</f>
        <v/>
      </c>
      <c r="D192" s="7" t="n"/>
      <c r="E192" s="5" t="n"/>
      <c r="F192" s="8">
        <f>IF($A192="","",SUMIFS('مقدّمو الطلبات'!$F$5:$F$204,'مقدّمو الطلبات'!$A$5:$A$204,$A192,'مقدّمو الطلبات'!$G$5:$G$204,"نعم"))</f>
        <v/>
      </c>
      <c r="G192" s="9" t="n"/>
      <c r="H192" s="9" t="n"/>
      <c r="I192" s="10">
        <f>IF(OR($A192="",$D192="",$E192="",$G192="",$H192=""),"",MIN($C192,'القوائم'!$N$5)+IFERROR(VLOOKUP($D192,'القوائم'!$A$5:$B$8,2,FALSE),0)+IFERROR(VLOOKUP($E192,'القوائم'!$C$5:$D$7,2,FALSE),0)+IF($F192&gt;='القوائم'!$N$6,2,IF($F192&gt;0,1,0))+IFERROR(VLOOKUP($G192,'القوائم'!$E$5:$F$7,2,FALSE),0)+IFERROR(VLOOKUP($H192,'القوائم'!$G$5:$H$7,2,FALSE),0))</f>
        <v/>
      </c>
      <c r="J192" s="7" t="n"/>
      <c r="K192" s="5" t="n"/>
      <c r="L192" s="5" t="n"/>
      <c r="M192" s="5" t="n"/>
      <c r="N192" s="11">
        <f>IF($A192="","",IF(COUNTIFS('مقدّمو الطلبات'!$A$5:$A$204,$A192,'مقدّمو الطلبات'!$J$5:$J$204,"&lt;&gt;")=0,"",SUMPRODUCT(MAX(('مقدّمو الطلبات'!$A$5:$A$204=$A192)*'مقدّمو الطلبات'!$J$5:$J$204))))</f>
        <v/>
      </c>
      <c r="O192" s="6">
        <f>IF($A192="","",COUNTIFS('مقدّمو الطلبات'!$A$5:$A$204,$A192,'مقدّمو الطلبات'!$K$5:$K$204,"لا"))</f>
        <v/>
      </c>
      <c r="P192" s="12">
        <f>IF($A192="","",IF($C192=0,"بلا مقدّمي طلب",IF($J192="","بلا قرار",IF($O192&gt;0,"ردود مستحقة",IF(OR($J192="غير مخطط لها",$J192="أُطلقت"),"مغلق","مفتوح")))))</f>
        <v/>
      </c>
      <c r="Q192" s="5" t="n"/>
      <c r="R192">
        <f>IF(ISNUMBER($I192),$I192+(1000-ROW())/100000,"")</f>
        <v/>
      </c>
    </row>
    <row r="193">
      <c r="A193" s="4" t="n"/>
      <c r="B193" s="5" t="n"/>
      <c r="C193" s="6">
        <f>IF($A193="","",COUNTIF('مقدّمو الطلبات'!$A$5:$A$204,$A193))</f>
        <v/>
      </c>
      <c r="D193" s="7" t="n"/>
      <c r="E193" s="5" t="n"/>
      <c r="F193" s="8">
        <f>IF($A193="","",SUMIFS('مقدّمو الطلبات'!$F$5:$F$204,'مقدّمو الطلبات'!$A$5:$A$204,$A193,'مقدّمو الطلبات'!$G$5:$G$204,"نعم"))</f>
        <v/>
      </c>
      <c r="G193" s="9" t="n"/>
      <c r="H193" s="9" t="n"/>
      <c r="I193" s="10">
        <f>IF(OR($A193="",$D193="",$E193="",$G193="",$H193=""),"",MIN($C193,'القوائم'!$N$5)+IFERROR(VLOOKUP($D193,'القوائم'!$A$5:$B$8,2,FALSE),0)+IFERROR(VLOOKUP($E193,'القوائم'!$C$5:$D$7,2,FALSE),0)+IF($F193&gt;='القوائم'!$N$6,2,IF($F193&gt;0,1,0))+IFERROR(VLOOKUP($G193,'القوائم'!$E$5:$F$7,2,FALSE),0)+IFERROR(VLOOKUP($H193,'القوائم'!$G$5:$H$7,2,FALSE),0))</f>
        <v/>
      </c>
      <c r="J193" s="7" t="n"/>
      <c r="K193" s="5" t="n"/>
      <c r="L193" s="5" t="n"/>
      <c r="M193" s="5" t="n"/>
      <c r="N193" s="11">
        <f>IF($A193="","",IF(COUNTIFS('مقدّمو الطلبات'!$A$5:$A$204,$A193,'مقدّمو الطلبات'!$J$5:$J$204,"&lt;&gt;")=0,"",SUMPRODUCT(MAX(('مقدّمو الطلبات'!$A$5:$A$204=$A193)*'مقدّمو الطلبات'!$J$5:$J$204))))</f>
        <v/>
      </c>
      <c r="O193" s="6">
        <f>IF($A193="","",COUNTIFS('مقدّمو الطلبات'!$A$5:$A$204,$A193,'مقدّمو الطلبات'!$K$5:$K$204,"لا"))</f>
        <v/>
      </c>
      <c r="P193" s="12">
        <f>IF($A193="","",IF($C193=0,"بلا مقدّمي طلب",IF($J193="","بلا قرار",IF($O193&gt;0,"ردود مستحقة",IF(OR($J193="غير مخطط لها",$J193="أُطلقت"),"مغلق","مفتوح")))))</f>
        <v/>
      </c>
      <c r="Q193" s="5" t="n"/>
      <c r="R193">
        <f>IF(ISNUMBER($I193),$I193+(1000-ROW())/100000,"")</f>
        <v/>
      </c>
    </row>
    <row r="194">
      <c r="A194" s="4" t="n"/>
      <c r="B194" s="5" t="n"/>
      <c r="C194" s="6">
        <f>IF($A194="","",COUNTIF('مقدّمو الطلبات'!$A$5:$A$204,$A194))</f>
        <v/>
      </c>
      <c r="D194" s="7" t="n"/>
      <c r="E194" s="5" t="n"/>
      <c r="F194" s="8">
        <f>IF($A194="","",SUMIFS('مقدّمو الطلبات'!$F$5:$F$204,'مقدّمو الطلبات'!$A$5:$A$204,$A194,'مقدّمو الطلبات'!$G$5:$G$204,"نعم"))</f>
        <v/>
      </c>
      <c r="G194" s="9" t="n"/>
      <c r="H194" s="9" t="n"/>
      <c r="I194" s="10">
        <f>IF(OR($A194="",$D194="",$E194="",$G194="",$H194=""),"",MIN($C194,'القوائم'!$N$5)+IFERROR(VLOOKUP($D194,'القوائم'!$A$5:$B$8,2,FALSE),0)+IFERROR(VLOOKUP($E194,'القوائم'!$C$5:$D$7,2,FALSE),0)+IF($F194&gt;='القوائم'!$N$6,2,IF($F194&gt;0,1,0))+IFERROR(VLOOKUP($G194,'القوائم'!$E$5:$F$7,2,FALSE),0)+IFERROR(VLOOKUP($H194,'القوائم'!$G$5:$H$7,2,FALSE),0))</f>
        <v/>
      </c>
      <c r="J194" s="7" t="n"/>
      <c r="K194" s="5" t="n"/>
      <c r="L194" s="5" t="n"/>
      <c r="M194" s="5" t="n"/>
      <c r="N194" s="11">
        <f>IF($A194="","",IF(COUNTIFS('مقدّمو الطلبات'!$A$5:$A$204,$A194,'مقدّمو الطلبات'!$J$5:$J$204,"&lt;&gt;")=0,"",SUMPRODUCT(MAX(('مقدّمو الطلبات'!$A$5:$A$204=$A194)*'مقدّمو الطلبات'!$J$5:$J$204))))</f>
        <v/>
      </c>
      <c r="O194" s="6">
        <f>IF($A194="","",COUNTIFS('مقدّمو الطلبات'!$A$5:$A$204,$A194,'مقدّمو الطلبات'!$K$5:$K$204,"لا"))</f>
        <v/>
      </c>
      <c r="P194" s="12">
        <f>IF($A194="","",IF($C194=0,"بلا مقدّمي طلب",IF($J194="","بلا قرار",IF($O194&gt;0,"ردود مستحقة",IF(OR($J194="غير مخطط لها",$J194="أُطلقت"),"مغلق","مفتوح")))))</f>
        <v/>
      </c>
      <c r="Q194" s="5" t="n"/>
      <c r="R194">
        <f>IF(ISNUMBER($I194),$I194+(1000-ROW())/100000,"")</f>
        <v/>
      </c>
    </row>
    <row r="195">
      <c r="A195" s="4" t="n"/>
      <c r="B195" s="5" t="n"/>
      <c r="C195" s="6">
        <f>IF($A195="","",COUNTIF('مقدّمو الطلبات'!$A$5:$A$204,$A195))</f>
        <v/>
      </c>
      <c r="D195" s="7" t="n"/>
      <c r="E195" s="5" t="n"/>
      <c r="F195" s="8">
        <f>IF($A195="","",SUMIFS('مقدّمو الطلبات'!$F$5:$F$204,'مقدّمو الطلبات'!$A$5:$A$204,$A195,'مقدّمو الطلبات'!$G$5:$G$204,"نعم"))</f>
        <v/>
      </c>
      <c r="G195" s="9" t="n"/>
      <c r="H195" s="9" t="n"/>
      <c r="I195" s="10">
        <f>IF(OR($A195="",$D195="",$E195="",$G195="",$H195=""),"",MIN($C195,'القوائم'!$N$5)+IFERROR(VLOOKUP($D195,'القوائم'!$A$5:$B$8,2,FALSE),0)+IFERROR(VLOOKUP($E195,'القوائم'!$C$5:$D$7,2,FALSE),0)+IF($F195&gt;='القوائم'!$N$6,2,IF($F195&gt;0,1,0))+IFERROR(VLOOKUP($G195,'القوائم'!$E$5:$F$7,2,FALSE),0)+IFERROR(VLOOKUP($H195,'القوائم'!$G$5:$H$7,2,FALSE),0))</f>
        <v/>
      </c>
      <c r="J195" s="7" t="n"/>
      <c r="K195" s="5" t="n"/>
      <c r="L195" s="5" t="n"/>
      <c r="M195" s="5" t="n"/>
      <c r="N195" s="11">
        <f>IF($A195="","",IF(COUNTIFS('مقدّمو الطلبات'!$A$5:$A$204,$A195,'مقدّمو الطلبات'!$J$5:$J$204,"&lt;&gt;")=0,"",SUMPRODUCT(MAX(('مقدّمو الطلبات'!$A$5:$A$204=$A195)*'مقدّمو الطلبات'!$J$5:$J$204))))</f>
        <v/>
      </c>
      <c r="O195" s="6">
        <f>IF($A195="","",COUNTIFS('مقدّمو الطلبات'!$A$5:$A$204,$A195,'مقدّمو الطلبات'!$K$5:$K$204,"لا"))</f>
        <v/>
      </c>
      <c r="P195" s="12">
        <f>IF($A195="","",IF($C195=0,"بلا مقدّمي طلب",IF($J195="","بلا قرار",IF($O195&gt;0,"ردود مستحقة",IF(OR($J195="غير مخطط لها",$J195="أُطلقت"),"مغلق","مفتوح")))))</f>
        <v/>
      </c>
      <c r="Q195" s="5" t="n"/>
      <c r="R195">
        <f>IF(ISNUMBER($I195),$I195+(1000-ROW())/100000,"")</f>
        <v/>
      </c>
    </row>
    <row r="196">
      <c r="A196" s="4" t="n"/>
      <c r="B196" s="5" t="n"/>
      <c r="C196" s="6">
        <f>IF($A196="","",COUNTIF('مقدّمو الطلبات'!$A$5:$A$204,$A196))</f>
        <v/>
      </c>
      <c r="D196" s="7" t="n"/>
      <c r="E196" s="5" t="n"/>
      <c r="F196" s="8">
        <f>IF($A196="","",SUMIFS('مقدّمو الطلبات'!$F$5:$F$204,'مقدّمو الطلبات'!$A$5:$A$204,$A196,'مقدّمو الطلبات'!$G$5:$G$204,"نعم"))</f>
        <v/>
      </c>
      <c r="G196" s="9" t="n"/>
      <c r="H196" s="9" t="n"/>
      <c r="I196" s="10">
        <f>IF(OR($A196="",$D196="",$E196="",$G196="",$H196=""),"",MIN($C196,'القوائم'!$N$5)+IFERROR(VLOOKUP($D196,'القوائم'!$A$5:$B$8,2,FALSE),0)+IFERROR(VLOOKUP($E196,'القوائم'!$C$5:$D$7,2,FALSE),0)+IF($F196&gt;='القوائم'!$N$6,2,IF($F196&gt;0,1,0))+IFERROR(VLOOKUP($G196,'القوائم'!$E$5:$F$7,2,FALSE),0)+IFERROR(VLOOKUP($H196,'القوائم'!$G$5:$H$7,2,FALSE),0))</f>
        <v/>
      </c>
      <c r="J196" s="7" t="n"/>
      <c r="K196" s="5" t="n"/>
      <c r="L196" s="5" t="n"/>
      <c r="M196" s="5" t="n"/>
      <c r="N196" s="11">
        <f>IF($A196="","",IF(COUNTIFS('مقدّمو الطلبات'!$A$5:$A$204,$A196,'مقدّمو الطلبات'!$J$5:$J$204,"&lt;&gt;")=0,"",SUMPRODUCT(MAX(('مقدّمو الطلبات'!$A$5:$A$204=$A196)*'مقدّمو الطلبات'!$J$5:$J$204))))</f>
        <v/>
      </c>
      <c r="O196" s="6">
        <f>IF($A196="","",COUNTIFS('مقدّمو الطلبات'!$A$5:$A$204,$A196,'مقدّمو الطلبات'!$K$5:$K$204,"لا"))</f>
        <v/>
      </c>
      <c r="P196" s="12">
        <f>IF($A196="","",IF($C196=0,"بلا مقدّمي طلب",IF($J196="","بلا قرار",IF($O196&gt;0,"ردود مستحقة",IF(OR($J196="غير مخطط لها",$J196="أُطلقت"),"مغلق","مفتوح")))))</f>
        <v/>
      </c>
      <c r="Q196" s="5" t="n"/>
      <c r="R196">
        <f>IF(ISNUMBER($I196),$I196+(1000-ROW())/100000,"")</f>
        <v/>
      </c>
    </row>
    <row r="197">
      <c r="A197" s="4" t="n"/>
      <c r="B197" s="5" t="n"/>
      <c r="C197" s="6">
        <f>IF($A197="","",COUNTIF('مقدّمو الطلبات'!$A$5:$A$204,$A197))</f>
        <v/>
      </c>
      <c r="D197" s="7" t="n"/>
      <c r="E197" s="5" t="n"/>
      <c r="F197" s="8">
        <f>IF($A197="","",SUMIFS('مقدّمو الطلبات'!$F$5:$F$204,'مقدّمو الطلبات'!$A$5:$A$204,$A197,'مقدّمو الطلبات'!$G$5:$G$204,"نعم"))</f>
        <v/>
      </c>
      <c r="G197" s="9" t="n"/>
      <c r="H197" s="9" t="n"/>
      <c r="I197" s="10">
        <f>IF(OR($A197="",$D197="",$E197="",$G197="",$H197=""),"",MIN($C197,'القوائم'!$N$5)+IFERROR(VLOOKUP($D197,'القوائم'!$A$5:$B$8,2,FALSE),0)+IFERROR(VLOOKUP($E197,'القوائم'!$C$5:$D$7,2,FALSE),0)+IF($F197&gt;='القوائم'!$N$6,2,IF($F197&gt;0,1,0))+IFERROR(VLOOKUP($G197,'القوائم'!$E$5:$F$7,2,FALSE),0)+IFERROR(VLOOKUP($H197,'القوائم'!$G$5:$H$7,2,FALSE),0))</f>
        <v/>
      </c>
      <c r="J197" s="7" t="n"/>
      <c r="K197" s="5" t="n"/>
      <c r="L197" s="5" t="n"/>
      <c r="M197" s="5" t="n"/>
      <c r="N197" s="11">
        <f>IF($A197="","",IF(COUNTIFS('مقدّمو الطلبات'!$A$5:$A$204,$A197,'مقدّمو الطلبات'!$J$5:$J$204,"&lt;&gt;")=0,"",SUMPRODUCT(MAX(('مقدّمو الطلبات'!$A$5:$A$204=$A197)*'مقدّمو الطلبات'!$J$5:$J$204))))</f>
        <v/>
      </c>
      <c r="O197" s="6">
        <f>IF($A197="","",COUNTIFS('مقدّمو الطلبات'!$A$5:$A$204,$A197,'مقدّمو الطلبات'!$K$5:$K$204,"لا"))</f>
        <v/>
      </c>
      <c r="P197" s="12">
        <f>IF($A197="","",IF($C197=0,"بلا مقدّمي طلب",IF($J197="","بلا قرار",IF($O197&gt;0,"ردود مستحقة",IF(OR($J197="غير مخطط لها",$J197="أُطلقت"),"مغلق","مفتوح")))))</f>
        <v/>
      </c>
      <c r="Q197" s="5" t="n"/>
      <c r="R197">
        <f>IF(ISNUMBER($I197),$I197+(1000-ROW())/100000,"")</f>
        <v/>
      </c>
    </row>
    <row r="198">
      <c r="A198" s="4" t="n"/>
      <c r="B198" s="5" t="n"/>
      <c r="C198" s="6">
        <f>IF($A198="","",COUNTIF('مقدّمو الطلبات'!$A$5:$A$204,$A198))</f>
        <v/>
      </c>
      <c r="D198" s="7" t="n"/>
      <c r="E198" s="5" t="n"/>
      <c r="F198" s="8">
        <f>IF($A198="","",SUMIFS('مقدّمو الطلبات'!$F$5:$F$204,'مقدّمو الطلبات'!$A$5:$A$204,$A198,'مقدّمو الطلبات'!$G$5:$G$204,"نعم"))</f>
        <v/>
      </c>
      <c r="G198" s="9" t="n"/>
      <c r="H198" s="9" t="n"/>
      <c r="I198" s="10">
        <f>IF(OR($A198="",$D198="",$E198="",$G198="",$H198=""),"",MIN($C198,'القوائم'!$N$5)+IFERROR(VLOOKUP($D198,'القوائم'!$A$5:$B$8,2,FALSE),0)+IFERROR(VLOOKUP($E198,'القوائم'!$C$5:$D$7,2,FALSE),0)+IF($F198&gt;='القوائم'!$N$6,2,IF($F198&gt;0,1,0))+IFERROR(VLOOKUP($G198,'القوائم'!$E$5:$F$7,2,FALSE),0)+IFERROR(VLOOKUP($H198,'القوائم'!$G$5:$H$7,2,FALSE),0))</f>
        <v/>
      </c>
      <c r="J198" s="7" t="n"/>
      <c r="K198" s="5" t="n"/>
      <c r="L198" s="5" t="n"/>
      <c r="M198" s="5" t="n"/>
      <c r="N198" s="11">
        <f>IF($A198="","",IF(COUNTIFS('مقدّمو الطلبات'!$A$5:$A$204,$A198,'مقدّمو الطلبات'!$J$5:$J$204,"&lt;&gt;")=0,"",SUMPRODUCT(MAX(('مقدّمو الطلبات'!$A$5:$A$204=$A198)*'مقدّمو الطلبات'!$J$5:$J$204))))</f>
        <v/>
      </c>
      <c r="O198" s="6">
        <f>IF($A198="","",COUNTIFS('مقدّمو الطلبات'!$A$5:$A$204,$A198,'مقدّمو الطلبات'!$K$5:$K$204,"لا"))</f>
        <v/>
      </c>
      <c r="P198" s="12">
        <f>IF($A198="","",IF($C198=0,"بلا مقدّمي طلب",IF($J198="","بلا قرار",IF($O198&gt;0,"ردود مستحقة",IF(OR($J198="غير مخطط لها",$J198="أُطلقت"),"مغلق","مفتوح")))))</f>
        <v/>
      </c>
      <c r="Q198" s="5" t="n"/>
      <c r="R198">
        <f>IF(ISNUMBER($I198),$I198+(1000-ROW())/100000,"")</f>
        <v/>
      </c>
    </row>
    <row r="199">
      <c r="A199" s="4" t="n"/>
      <c r="B199" s="5" t="n"/>
      <c r="C199" s="6">
        <f>IF($A199="","",COUNTIF('مقدّمو الطلبات'!$A$5:$A$204,$A199))</f>
        <v/>
      </c>
      <c r="D199" s="7" t="n"/>
      <c r="E199" s="5" t="n"/>
      <c r="F199" s="8">
        <f>IF($A199="","",SUMIFS('مقدّمو الطلبات'!$F$5:$F$204,'مقدّمو الطلبات'!$A$5:$A$204,$A199,'مقدّمو الطلبات'!$G$5:$G$204,"نعم"))</f>
        <v/>
      </c>
      <c r="G199" s="9" t="n"/>
      <c r="H199" s="9" t="n"/>
      <c r="I199" s="10">
        <f>IF(OR($A199="",$D199="",$E199="",$G199="",$H199=""),"",MIN($C199,'القوائم'!$N$5)+IFERROR(VLOOKUP($D199,'القوائم'!$A$5:$B$8,2,FALSE),0)+IFERROR(VLOOKUP($E199,'القوائم'!$C$5:$D$7,2,FALSE),0)+IF($F199&gt;='القوائم'!$N$6,2,IF($F199&gt;0,1,0))+IFERROR(VLOOKUP($G199,'القوائم'!$E$5:$F$7,2,FALSE),0)+IFERROR(VLOOKUP($H199,'القوائم'!$G$5:$H$7,2,FALSE),0))</f>
        <v/>
      </c>
      <c r="J199" s="7" t="n"/>
      <c r="K199" s="5" t="n"/>
      <c r="L199" s="5" t="n"/>
      <c r="M199" s="5" t="n"/>
      <c r="N199" s="11">
        <f>IF($A199="","",IF(COUNTIFS('مقدّمو الطلبات'!$A$5:$A$204,$A199,'مقدّمو الطلبات'!$J$5:$J$204,"&lt;&gt;")=0,"",SUMPRODUCT(MAX(('مقدّمو الطلبات'!$A$5:$A$204=$A199)*'مقدّمو الطلبات'!$J$5:$J$204))))</f>
        <v/>
      </c>
      <c r="O199" s="6">
        <f>IF($A199="","",COUNTIFS('مقدّمو الطلبات'!$A$5:$A$204,$A199,'مقدّمو الطلبات'!$K$5:$K$204,"لا"))</f>
        <v/>
      </c>
      <c r="P199" s="12">
        <f>IF($A199="","",IF($C199=0,"بلا مقدّمي طلب",IF($J199="","بلا قرار",IF($O199&gt;0,"ردود مستحقة",IF(OR($J199="غير مخطط لها",$J199="أُطلقت"),"مغلق","مفتوح")))))</f>
        <v/>
      </c>
      <c r="Q199" s="5" t="n"/>
      <c r="R199">
        <f>IF(ISNUMBER($I199),$I199+(1000-ROW())/100000,"")</f>
        <v/>
      </c>
    </row>
    <row r="200">
      <c r="A200" s="4" t="n"/>
      <c r="B200" s="5" t="n"/>
      <c r="C200" s="6">
        <f>IF($A200="","",COUNTIF('مقدّمو الطلبات'!$A$5:$A$204,$A200))</f>
        <v/>
      </c>
      <c r="D200" s="7" t="n"/>
      <c r="E200" s="5" t="n"/>
      <c r="F200" s="8">
        <f>IF($A200="","",SUMIFS('مقدّمو الطلبات'!$F$5:$F$204,'مقدّمو الطلبات'!$A$5:$A$204,$A200,'مقدّمو الطلبات'!$G$5:$G$204,"نعم"))</f>
        <v/>
      </c>
      <c r="G200" s="9" t="n"/>
      <c r="H200" s="9" t="n"/>
      <c r="I200" s="10">
        <f>IF(OR($A200="",$D200="",$E200="",$G200="",$H200=""),"",MIN($C200,'القوائم'!$N$5)+IFERROR(VLOOKUP($D200,'القوائم'!$A$5:$B$8,2,FALSE),0)+IFERROR(VLOOKUP($E200,'القوائم'!$C$5:$D$7,2,FALSE),0)+IF($F200&gt;='القوائم'!$N$6,2,IF($F200&gt;0,1,0))+IFERROR(VLOOKUP($G200,'القوائم'!$E$5:$F$7,2,FALSE),0)+IFERROR(VLOOKUP($H200,'القوائم'!$G$5:$H$7,2,FALSE),0))</f>
        <v/>
      </c>
      <c r="J200" s="7" t="n"/>
      <c r="K200" s="5" t="n"/>
      <c r="L200" s="5" t="n"/>
      <c r="M200" s="5" t="n"/>
      <c r="N200" s="11">
        <f>IF($A200="","",IF(COUNTIFS('مقدّمو الطلبات'!$A$5:$A$204,$A200,'مقدّمو الطلبات'!$J$5:$J$204,"&lt;&gt;")=0,"",SUMPRODUCT(MAX(('مقدّمو الطلبات'!$A$5:$A$204=$A200)*'مقدّمو الطلبات'!$J$5:$J$204))))</f>
        <v/>
      </c>
      <c r="O200" s="6">
        <f>IF($A200="","",COUNTIFS('مقدّمو الطلبات'!$A$5:$A$204,$A200,'مقدّمو الطلبات'!$K$5:$K$204,"لا"))</f>
        <v/>
      </c>
      <c r="P200" s="12">
        <f>IF($A200="","",IF($C200=0,"بلا مقدّمي طلب",IF($J200="","بلا قرار",IF($O200&gt;0,"ردود مستحقة",IF(OR($J200="غير مخطط لها",$J200="أُطلقت"),"مغلق","مفتوح")))))</f>
        <v/>
      </c>
      <c r="Q200" s="5" t="n"/>
      <c r="R200">
        <f>IF(ISNUMBER($I200),$I200+(1000-ROW())/100000,"")</f>
        <v/>
      </c>
    </row>
    <row r="201">
      <c r="A201" s="4" t="n"/>
      <c r="B201" s="5" t="n"/>
      <c r="C201" s="6">
        <f>IF($A201="","",COUNTIF('مقدّمو الطلبات'!$A$5:$A$204,$A201))</f>
        <v/>
      </c>
      <c r="D201" s="7" t="n"/>
      <c r="E201" s="5" t="n"/>
      <c r="F201" s="8">
        <f>IF($A201="","",SUMIFS('مقدّمو الطلبات'!$F$5:$F$204,'مقدّمو الطلبات'!$A$5:$A$204,$A201,'مقدّمو الطلبات'!$G$5:$G$204,"نعم"))</f>
        <v/>
      </c>
      <c r="G201" s="9" t="n"/>
      <c r="H201" s="9" t="n"/>
      <c r="I201" s="10">
        <f>IF(OR($A201="",$D201="",$E201="",$G201="",$H201=""),"",MIN($C201,'القوائم'!$N$5)+IFERROR(VLOOKUP($D201,'القوائم'!$A$5:$B$8,2,FALSE),0)+IFERROR(VLOOKUP($E201,'القوائم'!$C$5:$D$7,2,FALSE),0)+IF($F201&gt;='القوائم'!$N$6,2,IF($F201&gt;0,1,0))+IFERROR(VLOOKUP($G201,'القوائم'!$E$5:$F$7,2,FALSE),0)+IFERROR(VLOOKUP($H201,'القوائم'!$G$5:$H$7,2,FALSE),0))</f>
        <v/>
      </c>
      <c r="J201" s="7" t="n"/>
      <c r="K201" s="5" t="n"/>
      <c r="L201" s="5" t="n"/>
      <c r="M201" s="5" t="n"/>
      <c r="N201" s="11">
        <f>IF($A201="","",IF(COUNTIFS('مقدّمو الطلبات'!$A$5:$A$204,$A201,'مقدّمو الطلبات'!$J$5:$J$204,"&lt;&gt;")=0,"",SUMPRODUCT(MAX(('مقدّمو الطلبات'!$A$5:$A$204=$A201)*'مقدّمو الطلبات'!$J$5:$J$204))))</f>
        <v/>
      </c>
      <c r="O201" s="6">
        <f>IF($A201="","",COUNTIFS('مقدّمو الطلبات'!$A$5:$A$204,$A201,'مقدّمو الطلبات'!$K$5:$K$204,"لا"))</f>
        <v/>
      </c>
      <c r="P201" s="12">
        <f>IF($A201="","",IF($C201=0,"بلا مقدّمي طلب",IF($J201="","بلا قرار",IF($O201&gt;0,"ردود مستحقة",IF(OR($J201="غير مخطط لها",$J201="أُطلقت"),"مغلق","مفتوح")))))</f>
        <v/>
      </c>
      <c r="Q201" s="5" t="n"/>
      <c r="R201">
        <f>IF(ISNUMBER($I201),$I201+(1000-ROW())/100000,"")</f>
        <v/>
      </c>
    </row>
    <row r="202">
      <c r="A202" s="4" t="n"/>
      <c r="B202" s="5" t="n"/>
      <c r="C202" s="6">
        <f>IF($A202="","",COUNTIF('مقدّمو الطلبات'!$A$5:$A$204,$A202))</f>
        <v/>
      </c>
      <c r="D202" s="7" t="n"/>
      <c r="E202" s="5" t="n"/>
      <c r="F202" s="8">
        <f>IF($A202="","",SUMIFS('مقدّمو الطلبات'!$F$5:$F$204,'مقدّمو الطلبات'!$A$5:$A$204,$A202,'مقدّمو الطلبات'!$G$5:$G$204,"نعم"))</f>
        <v/>
      </c>
      <c r="G202" s="9" t="n"/>
      <c r="H202" s="9" t="n"/>
      <c r="I202" s="10">
        <f>IF(OR($A202="",$D202="",$E202="",$G202="",$H202=""),"",MIN($C202,'القوائم'!$N$5)+IFERROR(VLOOKUP($D202,'القوائم'!$A$5:$B$8,2,FALSE),0)+IFERROR(VLOOKUP($E202,'القوائم'!$C$5:$D$7,2,FALSE),0)+IF($F202&gt;='القوائم'!$N$6,2,IF($F202&gt;0,1,0))+IFERROR(VLOOKUP($G202,'القوائم'!$E$5:$F$7,2,FALSE),0)+IFERROR(VLOOKUP($H202,'القوائم'!$G$5:$H$7,2,FALSE),0))</f>
        <v/>
      </c>
      <c r="J202" s="7" t="n"/>
      <c r="K202" s="5" t="n"/>
      <c r="L202" s="5" t="n"/>
      <c r="M202" s="5" t="n"/>
      <c r="N202" s="11">
        <f>IF($A202="","",IF(COUNTIFS('مقدّمو الطلبات'!$A$5:$A$204,$A202,'مقدّمو الطلبات'!$J$5:$J$204,"&lt;&gt;")=0,"",SUMPRODUCT(MAX(('مقدّمو الطلبات'!$A$5:$A$204=$A202)*'مقدّمو الطلبات'!$J$5:$J$204))))</f>
        <v/>
      </c>
      <c r="O202" s="6">
        <f>IF($A202="","",COUNTIFS('مقدّمو الطلبات'!$A$5:$A$204,$A202,'مقدّمو الطلبات'!$K$5:$K$204,"لا"))</f>
        <v/>
      </c>
      <c r="P202" s="12">
        <f>IF($A202="","",IF($C202=0,"بلا مقدّمي طلب",IF($J202="","بلا قرار",IF($O202&gt;0,"ردود مستحقة",IF(OR($J202="غير مخطط لها",$J202="أُطلقت"),"مغلق","مفتوح")))))</f>
        <v/>
      </c>
      <c r="Q202" s="5" t="n"/>
      <c r="R202">
        <f>IF(ISNUMBER($I202),$I202+(1000-ROW())/100000,"")</f>
        <v/>
      </c>
    </row>
    <row r="203">
      <c r="A203" s="4" t="n"/>
      <c r="B203" s="5" t="n"/>
      <c r="C203" s="6">
        <f>IF($A203="","",COUNTIF('مقدّمو الطلبات'!$A$5:$A$204,$A203))</f>
        <v/>
      </c>
      <c r="D203" s="7" t="n"/>
      <c r="E203" s="5" t="n"/>
      <c r="F203" s="8">
        <f>IF($A203="","",SUMIFS('مقدّمو الطلبات'!$F$5:$F$204,'مقدّمو الطلبات'!$A$5:$A$204,$A203,'مقدّمو الطلبات'!$G$5:$G$204,"نعم"))</f>
        <v/>
      </c>
      <c r="G203" s="9" t="n"/>
      <c r="H203" s="9" t="n"/>
      <c r="I203" s="10">
        <f>IF(OR($A203="",$D203="",$E203="",$G203="",$H203=""),"",MIN($C203,'القوائم'!$N$5)+IFERROR(VLOOKUP($D203,'القوائم'!$A$5:$B$8,2,FALSE),0)+IFERROR(VLOOKUP($E203,'القوائم'!$C$5:$D$7,2,FALSE),0)+IF($F203&gt;='القوائم'!$N$6,2,IF($F203&gt;0,1,0))+IFERROR(VLOOKUP($G203,'القوائم'!$E$5:$F$7,2,FALSE),0)+IFERROR(VLOOKUP($H203,'القوائم'!$G$5:$H$7,2,FALSE),0))</f>
        <v/>
      </c>
      <c r="J203" s="7" t="n"/>
      <c r="K203" s="5" t="n"/>
      <c r="L203" s="5" t="n"/>
      <c r="M203" s="5" t="n"/>
      <c r="N203" s="11">
        <f>IF($A203="","",IF(COUNTIFS('مقدّمو الطلبات'!$A$5:$A$204,$A203,'مقدّمو الطلبات'!$J$5:$J$204,"&lt;&gt;")=0,"",SUMPRODUCT(MAX(('مقدّمو الطلبات'!$A$5:$A$204=$A203)*'مقدّمو الطلبات'!$J$5:$J$204))))</f>
        <v/>
      </c>
      <c r="O203" s="6">
        <f>IF($A203="","",COUNTIFS('مقدّمو الطلبات'!$A$5:$A$204,$A203,'مقدّمو الطلبات'!$K$5:$K$204,"لا"))</f>
        <v/>
      </c>
      <c r="P203" s="12">
        <f>IF($A203="","",IF($C203=0,"بلا مقدّمي طلب",IF($J203="","بلا قرار",IF($O203&gt;0,"ردود مستحقة",IF(OR($J203="غير مخطط لها",$J203="أُطلقت"),"مغلق","مفتوح")))))</f>
        <v/>
      </c>
      <c r="Q203" s="5" t="n"/>
      <c r="R203">
        <f>IF(ISNUMBER($I203),$I203+(1000-ROW())/100000,"")</f>
        <v/>
      </c>
    </row>
    <row r="204">
      <c r="A204" s="4" t="n"/>
      <c r="B204" s="5" t="n"/>
      <c r="C204" s="6">
        <f>IF($A204="","",COUNTIF('مقدّمو الطلبات'!$A$5:$A$204,$A204))</f>
        <v/>
      </c>
      <c r="D204" s="7" t="n"/>
      <c r="E204" s="5" t="n"/>
      <c r="F204" s="8">
        <f>IF($A204="","",SUMIFS('مقدّمو الطلبات'!$F$5:$F$204,'مقدّمو الطلبات'!$A$5:$A$204,$A204,'مقدّمو الطلبات'!$G$5:$G$204,"نعم"))</f>
        <v/>
      </c>
      <c r="G204" s="9" t="n"/>
      <c r="H204" s="9" t="n"/>
      <c r="I204" s="10">
        <f>IF(OR($A204="",$D204="",$E204="",$G204="",$H204=""),"",MIN($C204,'القوائم'!$N$5)+IFERROR(VLOOKUP($D204,'القوائم'!$A$5:$B$8,2,FALSE),0)+IFERROR(VLOOKUP($E204,'القوائم'!$C$5:$D$7,2,FALSE),0)+IF($F204&gt;='القوائم'!$N$6,2,IF($F204&gt;0,1,0))+IFERROR(VLOOKUP($G204,'القوائم'!$E$5:$F$7,2,FALSE),0)+IFERROR(VLOOKUP($H204,'القوائم'!$G$5:$H$7,2,FALSE),0))</f>
        <v/>
      </c>
      <c r="J204" s="7" t="n"/>
      <c r="K204" s="5" t="n"/>
      <c r="L204" s="5" t="n"/>
      <c r="M204" s="5" t="n"/>
      <c r="N204" s="11">
        <f>IF($A204="","",IF(COUNTIFS('مقدّمو الطلبات'!$A$5:$A$204,$A204,'مقدّمو الطلبات'!$J$5:$J$204,"&lt;&gt;")=0,"",SUMPRODUCT(MAX(('مقدّمو الطلبات'!$A$5:$A$204=$A204)*'مقدّمو الطلبات'!$J$5:$J$204))))</f>
        <v/>
      </c>
      <c r="O204" s="6">
        <f>IF($A204="","",COUNTIFS('مقدّمو الطلبات'!$A$5:$A$204,$A204,'مقدّمو الطلبات'!$K$5:$K$204,"لا"))</f>
        <v/>
      </c>
      <c r="P204" s="12">
        <f>IF($A204="","",IF($C204=0,"بلا مقدّمي طلب",IF($J204="","بلا قرار",IF($O204&gt;0,"ردود مستحقة",IF(OR($J204="غير مخطط لها",$J204="أُطلقت"),"مغلق","مفتوح")))))</f>
        <v/>
      </c>
      <c r="Q204" s="5" t="n"/>
      <c r="R204">
        <f>IF(ISNUMBER($I204),$I204+(1000-ROW())/100000,"")</f>
        <v/>
      </c>
    </row>
  </sheetData>
  <autoFilter ref="A4:Q204"/>
  <conditionalFormatting sqref="I5:I204">
    <cfRule type="expression" priority="1" dxfId="0">
      <formula>AND(ISNUMBER(I5),I5&gt;=10)</formula>
    </cfRule>
    <cfRule type="expression" priority="2" dxfId="1">
      <formula>AND(ISNUMBER(I5),I5&gt;=6,I5&lt;10)</formula>
    </cfRule>
  </conditionalFormatting>
  <conditionalFormatting sqref="O5:O204">
    <cfRule type="expression" priority="3" dxfId="2">
      <formula>AND(ISNUMBER(O5),O5&gt;0)</formula>
    </cfRule>
  </conditionalFormatting>
  <conditionalFormatting sqref="P5:P204">
    <cfRule type="expression" priority="4" dxfId="1">
      <formula>P5="بلا مقدّمي طلب"</formula>
    </cfRule>
    <cfRule type="expression" priority="5" dxfId="1">
      <formula>P5="بلا قرار"</formula>
    </cfRule>
    <cfRule type="expression" priority="6" dxfId="2">
      <formula>P5="ردود مستحقة"</formula>
    </cfRule>
    <cfRule type="expression" priority="7" dxfId="3">
      <formula>P5="مفتوح"</formula>
    </cfRule>
    <cfRule type="expression" priority="8" dxfId="0">
      <formula>P5="مغلق"</formula>
    </cfRule>
  </conditionalFormatting>
  <dataValidations count="6">
    <dataValidation sqref="D5:D204" showDropDown="0" showInputMessage="0" showErrorMessage="0" allowBlank="1" type="list">
      <formula1>='القوائم'!$A$5:$A$8</formula1>
    </dataValidation>
    <dataValidation sqref="E5:E204" showDropDown="0" showInputMessage="0" showErrorMessage="0" allowBlank="1" type="list">
      <formula1>='القوائم'!$C$5:$C$7</formula1>
    </dataValidation>
    <dataValidation sqref="G5:G204" showDropDown="0" showInputMessage="0" showErrorMessage="0" allowBlank="1" type="list">
      <formula1>='القوائم'!$E$5:$E$7</formula1>
    </dataValidation>
    <dataValidation sqref="H5:H204" showDropDown="0" showInputMessage="0" showErrorMessage="0" allowBlank="1" type="list">
      <formula1>='القوائم'!$G$5:$G$7</formula1>
    </dataValidation>
    <dataValidation sqref="J5:J204" showDropDown="0" showInputMessage="0" showErrorMessage="0" allowBlank="1" type="list">
      <formula1>='القوائم'!$I$5:$I$8</formula1>
    </dataValidation>
    <dataValidation sqref="L5:L204" showDropDown="0" showInputMessage="0" showErrorMessage="0" allowBlank="1" type="list">
      <formula1>='القوائم'!$J$5:$J$14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2" customWidth="1" min="4" max="4"/>
    <col width="40" customWidth="1" min="5" max="5"/>
    <col width="14" customWidth="1" min="6" max="6"/>
    <col width="12" customWidth="1" min="7" max="7"/>
    <col width="14" customWidth="1" min="8" max="8"/>
    <col width="14" customWidth="1" min="9" max="9"/>
    <col width="13" customWidth="1" min="10" max="10"/>
    <col width="10" customWidth="1" min="11" max="11"/>
    <col width="36" customWidth="1" min="12" max="12"/>
    <col hidden="1" width="13" customWidth="1" min="13" max="13"/>
  </cols>
  <sheetData>
    <row r="1">
      <c r="A1" s="1" t="inlineStr">
        <is>
          <t>مقدّمو الطلبات</t>
        </is>
      </c>
    </row>
    <row r="2">
      <c r="A2" s="2" t="inlineStr">
        <is>
          <t>صف واحد لكل عميل طلب الميزة. اختر «الطلب» من العناوين في «سجل الطلبات». قيمة الحساب هي ما يدفعه العميل سنوياً (أو قيمة الصفقة للعميل المحتمل).</t>
        </is>
      </c>
    </row>
    <row r="3">
      <c r="A3" s="2" t="inlineStr">
        <is>
          <t>يتحول «تم الرد» إلى «نعم» عندما تطابق «آخر إجابة مرسلة» القرار الحالي ويكون لها تاريخ. وعندما يتغير القرار، أرسل الإجابة الجديدة وحدّث «آخر إجابة مرسلة».</t>
        </is>
      </c>
    </row>
    <row r="4" ht="34" customHeight="1">
      <c r="A4" s="3" t="inlineStr">
        <is>
          <t>الطلب</t>
        </is>
      </c>
      <c r="B4" s="3" t="inlineStr">
        <is>
          <t>العميل</t>
        </is>
      </c>
      <c r="C4" s="3" t="inlineStr">
        <is>
          <t>القناة</t>
        </is>
      </c>
      <c r="D4" s="3" t="inlineStr">
        <is>
          <t>تاريخ الطلب</t>
        </is>
      </c>
      <c r="E4" s="3" t="inlineStr">
        <is>
          <t>كلماته</t>
        </is>
      </c>
      <c r="F4" s="3" t="inlineStr">
        <is>
          <t>قيمة الحساب (سنوياً)</t>
        </is>
      </c>
      <c r="G4" s="3" t="inlineStr">
        <is>
          <t>قد يغادر أو لا يشتري</t>
        </is>
      </c>
      <c r="H4" s="3" t="inlineStr">
        <is>
          <t>القرار الحالي</t>
        </is>
      </c>
      <c r="I4" s="3" t="inlineStr">
        <is>
          <t>آخر إجابة مرسلة</t>
        </is>
      </c>
      <c r="J4" s="3" t="inlineStr">
        <is>
          <t>تاريخ آخر رد</t>
        </is>
      </c>
      <c r="K4" s="3" t="inlineStr">
        <is>
          <t>تم الرد</t>
        </is>
      </c>
      <c r="L4" s="3" t="inlineStr">
        <is>
          <t>ملاحظات</t>
        </is>
      </c>
    </row>
    <row r="5">
      <c r="A5" s="4" t="inlineStr">
        <is>
          <t>قائمة الانتظار التلقائية</t>
        </is>
      </c>
      <c r="B5" s="5" t="inlineStr">
        <is>
          <t>آنا دوارتي، Saltwater Yoga</t>
        </is>
      </c>
      <c r="C5" s="7" t="inlineStr">
        <is>
          <t>البريد الإلكتروني</t>
        </is>
      </c>
      <c r="D5" s="13" t="n">
        <v>46176</v>
      </c>
      <c r="E5" s="5" t="inlineStr">
        <is>
          <t>حصصنا المسائية ممتلئة، والأماكن الملغاة تضيع هدراً</t>
        </is>
      </c>
      <c r="F5" s="14" t="n">
        <v>1068</v>
      </c>
      <c r="G5" s="9" t="inlineStr">
        <is>
          <t>لا</t>
        </is>
      </c>
      <c r="H5" s="15">
        <f>IF($A5="","",IFERROR(INDEX('سجل الطلبات'!$J$5:$J$204,MATCH($A5,'سجل الطلبات'!$A$5:$A$204,0))&amp;"",""))</f>
        <v/>
      </c>
      <c r="I5" s="7" t="inlineStr">
        <is>
          <t>أُطلقت</t>
        </is>
      </c>
      <c r="J5" s="13" t="n">
        <v>46300</v>
      </c>
      <c r="K5" s="16">
        <f>IF($A5="","",IF(AND($I5&lt;&gt;"",$J5&lt;&gt;"",$I5=$H5),"نعم","لا"))</f>
        <v/>
      </c>
      <c r="L5" s="5" t="n"/>
      <c r="M5">
        <f>IF($K5="لا",COUNTIF($K$5:$K5,"لا"),"")</f>
        <v/>
      </c>
    </row>
    <row r="6">
      <c r="A6" s="4" t="inlineStr">
        <is>
          <t>قائمة الانتظار التلقائية</t>
        </is>
      </c>
      <c r="B6" s="5" t="inlineStr">
        <is>
          <t>جوردان لي، Iron Bloom Fitness</t>
        </is>
      </c>
      <c r="C6" s="7" t="inlineStr">
        <is>
          <t>الدردشة المباشرة</t>
        </is>
      </c>
      <c r="D6" s="13" t="n">
        <v>46191</v>
      </c>
      <c r="E6" s="5" t="inlineStr">
        <is>
          <t>هل يمكن لقائمة الانتظار أن تنقل الناس إلى الأماكن الشاغرة من تلقاء نفسها؟</t>
        </is>
      </c>
      <c r="F6" s="14" t="n">
        <v>1788</v>
      </c>
      <c r="G6" s="9" t="inlineStr">
        <is>
          <t>لا</t>
        </is>
      </c>
      <c r="H6" s="15">
        <f>IF($A6="","",IFERROR(INDEX('سجل الطلبات'!$J$5:$J$204,MATCH($A6,'سجل الطلبات'!$A$5:$A$204,0))&amp;"",""))</f>
        <v/>
      </c>
      <c r="I6" s="7" t="inlineStr">
        <is>
          <t>أُطلقت</t>
        </is>
      </c>
      <c r="J6" s="13" t="n">
        <v>46300</v>
      </c>
      <c r="K6" s="16">
        <f>IF($A6="","",IF(AND($I6&lt;&gt;"",$J6&lt;&gt;"",$I6=$H6),"نعم","لا"))</f>
        <v/>
      </c>
      <c r="L6" s="5" t="n"/>
      <c r="M6">
        <f>IF($K6="لا",COUNTIF($K$5:$K6,"لا"),"")</f>
        <v/>
      </c>
    </row>
    <row r="7">
      <c r="A7" s="4" t="inlineStr">
        <is>
          <t>قائمة الانتظار التلقائية</t>
        </is>
      </c>
      <c r="B7" s="5" t="inlineStr">
        <is>
          <t>هانا ساتو، Studio Nine Barre</t>
        </is>
      </c>
      <c r="C7" s="7" t="inlineStr">
        <is>
          <t>البريد الإلكتروني</t>
        </is>
      </c>
      <c r="D7" s="13" t="n">
        <v>46212</v>
      </c>
      <c r="E7" s="5" t="inlineStr">
        <is>
          <t>سنقارن تطبيقات أخرى عند التجديد إذا بقي هذا يدوياً</t>
        </is>
      </c>
      <c r="F7" s="14" t="n">
        <v>1068</v>
      </c>
      <c r="G7" s="9" t="inlineStr">
        <is>
          <t>نعم</t>
        </is>
      </c>
      <c r="H7" s="15">
        <f>IF($A7="","",IFERROR(INDEX('سجل الطلبات'!$J$5:$J$204,MATCH($A7,'سجل الطلبات'!$A$5:$A$204,0))&amp;"",""))</f>
        <v/>
      </c>
      <c r="I7" s="7" t="inlineStr">
        <is>
          <t>أُطلقت</t>
        </is>
      </c>
      <c r="J7" s="13" t="n">
        <v>46300</v>
      </c>
      <c r="K7" s="16">
        <f>IF($A7="","",IF(AND($I7&lt;&gt;"",$J7&lt;&gt;"",$I7=$H7),"نعم","لا"))</f>
        <v/>
      </c>
      <c r="L7" s="5" t="inlineStr">
        <is>
          <t>التجديد في نوفمبر</t>
        </is>
      </c>
      <c r="M7">
        <f>IF($K7="لا",COUNTIF($K$5:$K7,"لا"),"")</f>
        <v/>
      </c>
    </row>
    <row r="8">
      <c r="A8" s="4" t="inlineStr">
        <is>
          <t>قائمة الانتظار التلقائية</t>
        </is>
      </c>
      <c r="B8" s="5" t="inlineStr">
        <is>
          <t>لويس أورتيغا، Peak Form Cycling</t>
        </is>
      </c>
      <c r="C8" s="7" t="inlineStr">
        <is>
          <t>الدردشة المباشرة</t>
        </is>
      </c>
      <c r="D8" s="13" t="n">
        <v>46233</v>
      </c>
      <c r="E8" s="5" t="inlineStr">
        <is>
          <t>موظفو الاستقبال لدي يراسلون قائمة الانتظار برسائل نصية كل صباح</t>
        </is>
      </c>
      <c r="F8" s="14" t="n">
        <v>1068</v>
      </c>
      <c r="G8" s="9" t="inlineStr">
        <is>
          <t>لا</t>
        </is>
      </c>
      <c r="H8" s="15">
        <f>IF($A8="","",IFERROR(INDEX('سجل الطلبات'!$J$5:$J$204,MATCH($A8,'سجل الطلبات'!$A$5:$A$204,0))&amp;"",""))</f>
        <v/>
      </c>
      <c r="I8" s="7" t="inlineStr">
        <is>
          <t>أُطلقت</t>
        </is>
      </c>
      <c r="J8" s="13" t="n">
        <v>46300</v>
      </c>
      <c r="K8" s="16">
        <f>IF($A8="","",IF(AND($I8&lt;&gt;"",$J8&lt;&gt;"",$I8=$H8),"نعم","لا"))</f>
        <v/>
      </c>
      <c r="L8" s="5" t="n"/>
      <c r="M8">
        <f>IF($K8="لا",COUNTIF($K$5:$K8,"لا"),"")</f>
        <v/>
      </c>
    </row>
    <row r="9">
      <c r="A9" s="4" t="inlineStr">
        <is>
          <t>قائمة الانتظار التلقائية</t>
        </is>
      </c>
      <c r="B9" s="5" t="inlineStr">
        <is>
          <t>نورا كوين، Quinn Movement</t>
        </is>
      </c>
      <c r="C9" s="7" t="inlineStr">
        <is>
          <t>البريد الإلكتروني</t>
        </is>
      </c>
      <c r="D9" s="13" t="n">
        <v>46248</v>
      </c>
      <c r="E9" s="5" t="inlineStr">
        <is>
          <t>المكان الذي يفرغ الساعة 7:00 صباحاً يضيع قبل أن نتمكن من الاتصال بأحد</t>
        </is>
      </c>
      <c r="F9" s="14" t="n">
        <v>1068</v>
      </c>
      <c r="G9" s="9" t="inlineStr">
        <is>
          <t>لا</t>
        </is>
      </c>
      <c r="H9" s="15">
        <f>IF($A9="","",IFERROR(INDEX('سجل الطلبات'!$J$5:$J$204,MATCH($A9,'سجل الطلبات'!$A$5:$A$204,0))&amp;"",""))</f>
        <v/>
      </c>
      <c r="I9" s="7" t="inlineStr">
        <is>
          <t>أُطلقت</t>
        </is>
      </c>
      <c r="J9" s="13" t="n">
        <v>46300</v>
      </c>
      <c r="K9" s="16">
        <f>IF($A9="","",IF(AND($I9&lt;&gt;"",$J9&lt;&gt;"",$I9=$H9),"نعم","لا"))</f>
        <v/>
      </c>
      <c r="L9" s="5" t="n"/>
      <c r="M9">
        <f>IF($K9="لا",COUNTIF($K$5:$K9,"لا"),"")</f>
        <v/>
      </c>
    </row>
    <row r="10">
      <c r="A10" s="4" t="inlineStr">
        <is>
          <t>قائمة الانتظار التلقائية</t>
        </is>
      </c>
      <c r="B10" s="5" t="inlineStr">
        <is>
          <t>ديف باتيل، Lotus Hill Yoga</t>
        </is>
      </c>
      <c r="C10" s="7" t="inlineStr">
        <is>
          <t>WhatsApp</t>
        </is>
      </c>
      <c r="D10" s="13" t="n">
        <v>46267</v>
      </c>
      <c r="E10" s="5" t="inlineStr">
        <is>
          <t>أرجو ملء الأماكن من قائمة الانتظار تلقائياً</t>
        </is>
      </c>
      <c r="F10" s="14" t="n">
        <v>1788</v>
      </c>
      <c r="G10" s="9" t="inlineStr">
        <is>
          <t>لا</t>
        </is>
      </c>
      <c r="H10" s="15">
        <f>IF($A10="","",IFERROR(INDEX('سجل الطلبات'!$J$5:$J$204,MATCH($A10,'سجل الطلبات'!$A$5:$A$204,0))&amp;"",""))</f>
        <v/>
      </c>
      <c r="I10" s="7" t="inlineStr">
        <is>
          <t>أُطلقت</t>
        </is>
      </c>
      <c r="J10" s="13" t="n">
        <v>46300</v>
      </c>
      <c r="K10" s="16">
        <f>IF($A10="","",IF(AND($I10&lt;&gt;"",$J10&lt;&gt;"",$I10=$H10),"نعم","لا"))</f>
        <v/>
      </c>
      <c r="L10" s="5" t="n"/>
      <c r="M10">
        <f>IF($K10="لا",COUNTIF($K$5:$K10,"لا"),"")</f>
        <v/>
      </c>
    </row>
    <row r="11">
      <c r="A11" s="4" t="inlineStr">
        <is>
          <t>قائمة الانتظار التلقائية</t>
        </is>
      </c>
      <c r="B11" s="5" t="inlineStr">
        <is>
          <t>مايا بروكس، Cedar Loft Pilates</t>
        </is>
      </c>
      <c r="C11" s="7" t="inlineStr">
        <is>
          <t>الدردشة المباشرة</t>
        </is>
      </c>
      <c r="D11" s="13" t="n">
        <v>46287</v>
      </c>
      <c r="E11" s="5" t="inlineStr">
        <is>
          <t>3 أو 4 ساعات أسبوعياً في المراسلة؛ نبحث في تطبيقات أخرى قبل يناير</t>
        </is>
      </c>
      <c r="F11" s="14" t="n">
        <v>1788</v>
      </c>
      <c r="G11" s="9" t="inlineStr">
        <is>
          <t>نعم</t>
        </is>
      </c>
      <c r="H11" s="15">
        <f>IF($A11="","",IFERROR(INDEX('سجل الطلبات'!$J$5:$J$204,MATCH($A11,'سجل الطلبات'!$A$5:$A$204,0))&amp;"",""))</f>
        <v/>
      </c>
      <c r="I11" s="7" t="inlineStr">
        <is>
          <t>أُطلقت</t>
        </is>
      </c>
      <c r="J11" s="13" t="n">
        <v>46301</v>
      </c>
      <c r="K11" s="16">
        <f>IF($A11="","",IF(AND($I11&lt;&gt;"",$J11&lt;&gt;"",$I11=$H11),"نعم","لا"))</f>
        <v/>
      </c>
      <c r="L11" s="5" t="inlineStr">
        <is>
          <t>رسالة شخصية من إينيس؛ أُبلغ ثيو بتجديد يناير</t>
        </is>
      </c>
      <c r="M11">
        <f>IF($K11="لا",COUNTIF($K$5:$K11,"لا"),"")</f>
        <v/>
      </c>
    </row>
    <row r="12">
      <c r="A12" s="4" t="inlineStr">
        <is>
          <t>تصدير الحجوزات أسبوعياً</t>
        </is>
      </c>
      <c r="B12" s="5" t="inlineStr">
        <is>
          <t>نورا كوين، Quinn Movement</t>
        </is>
      </c>
      <c r="C12" s="7" t="inlineStr">
        <is>
          <t>البريد الإلكتروني</t>
        </is>
      </c>
      <c r="D12" s="13" t="n">
        <v>46254</v>
      </c>
      <c r="E12" s="5" t="inlineStr">
        <is>
          <t>كل يوم جمعة أنسخ 40 حجزاً إلى جدول لمحاسبي</t>
        </is>
      </c>
      <c r="F12" s="14" t="n">
        <v>1068</v>
      </c>
      <c r="G12" s="9" t="inlineStr">
        <is>
          <t>لا</t>
        </is>
      </c>
      <c r="H12" s="15">
        <f>IF($A12="","",IFERROR(INDEX('سجل الطلبات'!$J$5:$J$204,MATCH($A12,'سجل الطلبات'!$A$5:$A$204,0))&amp;"",""))</f>
        <v/>
      </c>
      <c r="I12" s="7" t="inlineStr">
        <is>
          <t>غير مخطط لها</t>
        </is>
      </c>
      <c r="J12" s="13" t="n">
        <v>46295</v>
      </c>
      <c r="K12" s="16">
        <f>IF($A12="","",IF(AND($I12&lt;&gt;"",$J12&lt;&gt;"",$I12=$H12),"نعم","لا"))</f>
        <v/>
      </c>
      <c r="L12" s="5" t="inlineStr">
        <is>
          <t>أُرسلت خطوات تصدير CSV</t>
        </is>
      </c>
      <c r="M12">
        <f>IF($K12="لا",COUNTIF($K$5:$K12,"لا"),"")</f>
        <v/>
      </c>
    </row>
    <row r="13">
      <c r="A13" s="4" t="inlineStr">
        <is>
          <t>تصدير الحجوزات أسبوعياً</t>
        </is>
      </c>
      <c r="B13" s="5" t="inlineStr">
        <is>
          <t>توم بيكر، Becker Boxing Club</t>
        </is>
      </c>
      <c r="C13" s="7" t="inlineStr">
        <is>
          <t>الدردشة المباشرة</t>
        </is>
      </c>
      <c r="D13" s="13" t="n">
        <v>46273</v>
      </c>
      <c r="E13" s="5" t="inlineStr">
        <is>
          <t>تصدير تلقائي لمسؤول الحسابات لدي</t>
        </is>
      </c>
      <c r="F13" s="14" t="n">
        <v>1068</v>
      </c>
      <c r="G13" s="9" t="inlineStr">
        <is>
          <t>لا</t>
        </is>
      </c>
      <c r="H13" s="15">
        <f>IF($A13="","",IFERROR(INDEX('سجل الطلبات'!$J$5:$J$204,MATCH($A13,'سجل الطلبات'!$A$5:$A$204,0))&amp;"",""))</f>
        <v/>
      </c>
      <c r="I13" s="7" t="inlineStr">
        <is>
          <t>غير مخطط لها</t>
        </is>
      </c>
      <c r="J13" s="13" t="n">
        <v>46295</v>
      </c>
      <c r="K13" s="16">
        <f>IF($A13="","",IF(AND($I13&lt;&gt;"",$J13&lt;&gt;"",$I13=$H13),"نعم","لا"))</f>
        <v/>
      </c>
      <c r="L13" s="5" t="n"/>
      <c r="M13">
        <f>IF($K13="لا",COUNTIF($K$5:$K13,"لا"),"")</f>
        <v/>
      </c>
    </row>
    <row r="14">
      <c r="A14" s="4" t="inlineStr">
        <is>
          <t>تصدير الحجوزات أسبوعياً</t>
        </is>
      </c>
      <c r="B14" s="5" t="inlineStr">
        <is>
          <t>إليف كايا، Kaya Climbing Gym</t>
        </is>
      </c>
      <c r="C14" s="7" t="inlineStr">
        <is>
          <t>البريد الإلكتروني</t>
        </is>
      </c>
      <c r="D14" s="13" t="n">
        <v>46289</v>
      </c>
      <c r="E14" s="5" t="inlineStr">
        <is>
          <t>تصدير أسبوعي إلى أداة المحاسبة لدينا</t>
        </is>
      </c>
      <c r="F14" s="14" t="n">
        <v>1788</v>
      </c>
      <c r="G14" s="9" t="inlineStr">
        <is>
          <t>لا</t>
        </is>
      </c>
      <c r="H14" s="15">
        <f>IF($A14="","",IFERROR(INDEX('سجل الطلبات'!$J$5:$J$204,MATCH($A14,'سجل الطلبات'!$A$5:$A$204,0))&amp;"",""))</f>
        <v/>
      </c>
      <c r="I14" s="7" t="inlineStr">
        <is>
          <t>قيد الدراسة</t>
        </is>
      </c>
      <c r="J14" s="13" t="n">
        <v>46290</v>
      </c>
      <c r="K14" s="16">
        <f>IF($A14="","",IF(AND($I14&lt;&gt;"",$J14&lt;&gt;"",$I14=$H14),"نعم","لا"))</f>
        <v/>
      </c>
      <c r="L14" s="5" t="inlineStr">
        <is>
          <t>آخر إجابة مرسلة: «قيد الدراسة»</t>
        </is>
      </c>
      <c r="M14">
        <f>IF($K14="لا",COUNTIF($K$5:$K14,"لا"),"")</f>
        <v/>
      </c>
    </row>
    <row r="15">
      <c r="A15" s="4" t="inlineStr">
        <is>
          <t>تذكير بالحصص برسائل نصية</t>
        </is>
      </c>
      <c r="B15" s="5" t="inlineStr">
        <is>
          <t>جوردان لي، Iron Bloom Fitness</t>
        </is>
      </c>
      <c r="C15" s="7" t="inlineStr">
        <is>
          <t>الدردشة المباشرة</t>
        </is>
      </c>
      <c r="D15" s="13" t="n">
        <v>46245</v>
      </c>
      <c r="E15" s="5" t="inlineStr">
        <is>
          <t>غياب عن الحصص الصباحية الباكرة؛ الرسائل النصية ستساعد</t>
        </is>
      </c>
      <c r="F15" s="14" t="n">
        <v>1788</v>
      </c>
      <c r="G15" s="9" t="inlineStr">
        <is>
          <t>لا</t>
        </is>
      </c>
      <c r="H15" s="15">
        <f>IF($A15="","",IFERROR(INDEX('سجل الطلبات'!$J$5:$J$204,MATCH($A15,'سجل الطلبات'!$A$5:$A$204,0))&amp;"",""))</f>
        <v/>
      </c>
      <c r="I15" s="7" t="inlineStr">
        <is>
          <t>قيد الدراسة</t>
        </is>
      </c>
      <c r="J15" s="13" t="n">
        <v>46245</v>
      </c>
      <c r="K15" s="16">
        <f>IF($A15="","",IF(AND($I15&lt;&gt;"",$J15&lt;&gt;"",$I15=$H15),"نعم","لا"))</f>
        <v/>
      </c>
      <c r="L15" s="5" t="n"/>
      <c r="M15">
        <f>IF($K15="لا",COUNTIF($K$5:$K15,"لا"),"")</f>
        <v/>
      </c>
    </row>
    <row r="16">
      <c r="A16" s="4" t="inlineStr">
        <is>
          <t>تذكير بالحصص برسائل نصية</t>
        </is>
      </c>
      <c r="B16" s="5" t="inlineStr">
        <is>
          <t>آنا دوارتي، Saltwater Yoga</t>
        </is>
      </c>
      <c r="C16" s="7" t="inlineStr">
        <is>
          <t>البريد الإلكتروني</t>
        </is>
      </c>
      <c r="D16" s="13" t="n">
        <v>46262</v>
      </c>
      <c r="E16" s="5" t="inlineStr">
        <is>
          <t>الأعضاء يتجاهلون رسائل التذكير بالبريد</t>
        </is>
      </c>
      <c r="F16" s="14" t="n">
        <v>1068</v>
      </c>
      <c r="G16" s="9" t="inlineStr">
        <is>
          <t>لا</t>
        </is>
      </c>
      <c r="H16" s="15">
        <f>IF($A16="","",IFERROR(INDEX('سجل الطلبات'!$J$5:$J$204,MATCH($A16,'سجل الطلبات'!$A$5:$A$204,0))&amp;"",""))</f>
        <v/>
      </c>
      <c r="I16" s="7" t="inlineStr">
        <is>
          <t>قيد الدراسة</t>
        </is>
      </c>
      <c r="J16" s="13" t="n">
        <v>46263</v>
      </c>
      <c r="K16" s="16">
        <f>IF($A16="","",IF(AND($I16&lt;&gt;"",$J16&lt;&gt;"",$I16=$H16),"نعم","لا"))</f>
        <v/>
      </c>
      <c r="L16" s="5" t="n"/>
      <c r="M16">
        <f>IF($K16="لا",COUNTIF($K$5:$K16,"لا"),"")</f>
        <v/>
      </c>
    </row>
    <row r="17">
      <c r="A17" s="4" t="inlineStr">
        <is>
          <t>تذكير بالحصص برسائل نصية</t>
        </is>
      </c>
      <c r="B17" s="5" t="inlineStr">
        <is>
          <t>روزا ليما، Lima Dance Studio</t>
        </is>
      </c>
      <c r="C17" s="7" t="inlineStr">
        <is>
          <t>WhatsApp</t>
        </is>
      </c>
      <c r="D17" s="13" t="n">
        <v>46280</v>
      </c>
      <c r="E17" s="5" t="inlineStr">
        <is>
          <t>تذكير برسائل نصية، وإلا فقد ننتقل عند التجديد</t>
        </is>
      </c>
      <c r="F17" s="14" t="n">
        <v>1788</v>
      </c>
      <c r="G17" s="9" t="inlineStr">
        <is>
          <t>نعم</t>
        </is>
      </c>
      <c r="H17" s="15">
        <f>IF($A17="","",IFERROR(INDEX('سجل الطلبات'!$J$5:$J$204,MATCH($A17,'سجل الطلبات'!$A$5:$A$204,0))&amp;"",""))</f>
        <v/>
      </c>
      <c r="I17" s="7" t="inlineStr">
        <is>
          <t>قيد الدراسة</t>
        </is>
      </c>
      <c r="J17" s="13" t="n">
        <v>46280</v>
      </c>
      <c r="K17" s="16">
        <f>IF($A17="","",IF(AND($I17&lt;&gt;"",$J17&lt;&gt;"",$I17=$H17),"نعم","لا"))</f>
        <v/>
      </c>
      <c r="L17" s="5" t="n"/>
      <c r="M17">
        <f>IF($K17="لا",COUNTIF($K$5:$K17,"لا"),"")</f>
        <v/>
      </c>
    </row>
    <row r="18">
      <c r="A18" s="4" t="inlineStr">
        <is>
          <t>تذكير بالحصص برسائل نصية</t>
        </is>
      </c>
      <c r="B18" s="5" t="inlineStr">
        <is>
          <t>بن أورتيز، Ortiz Strength</t>
        </is>
      </c>
      <c r="C18" s="7" t="inlineStr">
        <is>
          <t>الهاتف</t>
        </is>
      </c>
      <c r="D18" s="13" t="n">
        <v>46296</v>
      </c>
      <c r="E18" s="5" t="inlineStr">
        <is>
          <t>تذكير برسائل نصية قبل الحصة بساعتين</t>
        </is>
      </c>
      <c r="F18" s="14" t="n">
        <v>1068</v>
      </c>
      <c r="G18" s="9" t="inlineStr">
        <is>
          <t>لا</t>
        </is>
      </c>
      <c r="H18" s="15">
        <f>IF($A18="","",IFERROR(INDEX('سجل الطلبات'!$J$5:$J$204,MATCH($A18,'سجل الطلبات'!$A$5:$A$204,0))&amp;"",""))</f>
        <v/>
      </c>
      <c r="I18" s="7" t="inlineStr">
        <is>
          <t>قيد الدراسة</t>
        </is>
      </c>
      <c r="J18" s="13" t="n">
        <v>46297</v>
      </c>
      <c r="K18" s="16">
        <f>IF($A18="","",IF(AND($I18&lt;&gt;"",$J18&lt;&gt;"",$I18=$H18),"نعم","لا"))</f>
        <v/>
      </c>
      <c r="L18" s="5" t="n"/>
      <c r="M18">
        <f>IF($K18="لا",COUNTIF($K$5:$K18,"لا"),"")</f>
        <v/>
      </c>
    </row>
    <row r="19">
      <c r="A19" s="4" t="inlineStr">
        <is>
          <t>حسابات العائلة</t>
        </is>
      </c>
      <c r="B19" s="5" t="inlineStr">
        <is>
          <t>أوين برايس، Little Movers Gym (عميل محتمل)</t>
        </is>
      </c>
      <c r="C19" s="7" t="inlineStr">
        <is>
          <t>البريد الإلكتروني</t>
        </is>
      </c>
      <c r="D19" s="13" t="n">
        <v>46275</v>
      </c>
      <c r="E19" s="5" t="inlineStr">
        <is>
          <t>لا نستطيع الشراء من دون حسابات العائلة</t>
        </is>
      </c>
      <c r="F19" s="14" t="n">
        <v>1788</v>
      </c>
      <c r="G19" s="9" t="inlineStr">
        <is>
          <t>نعم</t>
        </is>
      </c>
      <c r="H19" s="15">
        <f>IF($A19="","",IFERROR(INDEX('سجل الطلبات'!$J$5:$J$204,MATCH($A19,'سجل الطلبات'!$A$5:$A$204,0))&amp;"",""))</f>
        <v/>
      </c>
      <c r="I19" s="7" t="inlineStr">
        <is>
          <t>قيد الدراسة</t>
        </is>
      </c>
      <c r="J19" s="13" t="n">
        <v>46276</v>
      </c>
      <c r="K19" s="16">
        <f>IF($A19="","",IF(AND($I19&lt;&gt;"",$J19&lt;&gt;"",$I19=$H19),"نعم","لا"))</f>
        <v/>
      </c>
      <c r="L19" s="5" t="inlineStr">
        <is>
          <t>الصفقة: Little Movers Gym، خطة سنوية</t>
        </is>
      </c>
      <c r="M19">
        <f>IF($K19="لا",COUNTIF($K$5:$K19,"لا"),"")</f>
        <v/>
      </c>
    </row>
    <row r="20">
      <c r="A20" s="4" t="inlineStr">
        <is>
          <t>حسابات العائلة</t>
        </is>
      </c>
      <c r="B20" s="5" t="inlineStr">
        <is>
          <t>هانا ساتو، Studio Nine Barre</t>
        </is>
      </c>
      <c r="C20" s="7" t="inlineStr">
        <is>
          <t>الدردشة المباشرة</t>
        </is>
      </c>
      <c r="D20" s="13" t="n">
        <v>46294</v>
      </c>
      <c r="E20" s="5" t="inlineStr">
        <is>
          <t>الآباء يستخدمون حسابين للحجز لطفلين</t>
        </is>
      </c>
      <c r="F20" s="14" t="n">
        <v>1068</v>
      </c>
      <c r="G20" s="9" t="inlineStr">
        <is>
          <t>لا</t>
        </is>
      </c>
      <c r="H20" s="15">
        <f>IF($A20="","",IFERROR(INDEX('سجل الطلبات'!$J$5:$J$204,MATCH($A20,'سجل الطلبات'!$A$5:$A$204,0))&amp;"",""))</f>
        <v/>
      </c>
      <c r="I20" s="7" t="inlineStr">
        <is>
          <t>قيد الدراسة</t>
        </is>
      </c>
      <c r="J20" s="13" t="n">
        <v>46294</v>
      </c>
      <c r="K20" s="16">
        <f>IF($A20="","",IF(AND($I20&lt;&gt;"",$J20&lt;&gt;"",$I20=$H20),"نعم","لا"))</f>
        <v/>
      </c>
      <c r="L20" s="5" t="n"/>
      <c r="M20">
        <f>IF($K20="لا",COUNTIF($K$5:$K20,"لا"),"")</f>
        <v/>
      </c>
    </row>
    <row r="21">
      <c r="A21" s="4" t="inlineStr">
        <is>
          <t>ألوان العلامة التجارية كاملة في صفحة الحجز</t>
        </is>
      </c>
      <c r="B21" s="5" t="inlineStr">
        <is>
          <t>لويس أورتيغا، Peak Form Cycling</t>
        </is>
      </c>
      <c r="C21" s="7" t="inlineStr">
        <is>
          <t>البريد الإلكتروني</t>
        </is>
      </c>
      <c r="D21" s="13" t="n">
        <v>46224</v>
      </c>
      <c r="E21" s="5" t="inlineStr">
        <is>
          <t>ألوان علامتنا التجارية في صفحة الحجز</t>
        </is>
      </c>
      <c r="F21" s="14" t="n">
        <v>1068</v>
      </c>
      <c r="G21" s="9" t="inlineStr">
        <is>
          <t>لا</t>
        </is>
      </c>
      <c r="H21" s="15">
        <f>IF($A21="","",IFERROR(INDEX('سجل الطلبات'!$J$5:$J$204,MATCH($A21,'سجل الطلبات'!$A$5:$A$204,0))&amp;"",""))</f>
        <v/>
      </c>
      <c r="I21" s="7" t="inlineStr">
        <is>
          <t>غير مخطط لها</t>
        </is>
      </c>
      <c r="J21" s="13" t="n">
        <v>46295</v>
      </c>
      <c r="K21" s="16">
        <f>IF($A21="","",IF(AND($I21&lt;&gt;"",$J21&lt;&gt;"",$I21=$H21),"نعم","لا"))</f>
        <v/>
      </c>
      <c r="L21" s="5" t="n"/>
      <c r="M21">
        <f>IF($K21="لا",COUNTIF($K$5:$K21,"لا"),"")</f>
        <v/>
      </c>
    </row>
    <row r="22">
      <c r="A22" s="4" t="inlineStr">
        <is>
          <t>ألوان العلامة التجارية كاملة في صفحة الحجز</t>
        </is>
      </c>
      <c r="B22" s="5" t="inlineStr">
        <is>
          <t>ميا سفينسون، Svensson Pilates</t>
        </is>
      </c>
      <c r="C22" s="7" t="inlineStr">
        <is>
          <t>الدردشة المباشرة</t>
        </is>
      </c>
      <c r="D22" s="13" t="n">
        <v>46268</v>
      </c>
      <c r="E22" s="5" t="inlineStr">
        <is>
          <t>هل يمكنني تغيير كل الألوان؟</t>
        </is>
      </c>
      <c r="F22" s="14" t="n">
        <v>1068</v>
      </c>
      <c r="G22" s="9" t="inlineStr">
        <is>
          <t>لا</t>
        </is>
      </c>
      <c r="H22" s="15">
        <f>IF($A22="","",IFERROR(INDEX('سجل الطلبات'!$J$5:$J$204,MATCH($A22,'سجل الطلبات'!$A$5:$A$204,0))&amp;"",""))</f>
        <v/>
      </c>
      <c r="I22" s="7" t="inlineStr">
        <is>
          <t>غير مخطط لها</t>
        </is>
      </c>
      <c r="J22" s="13" t="n">
        <v>46295</v>
      </c>
      <c r="K22" s="16">
        <f>IF($A22="","",IF(AND($I22&lt;&gt;"",$J22&lt;&gt;"",$I22=$H22),"نعم","لا"))</f>
        <v/>
      </c>
      <c r="L22" s="5" t="n"/>
      <c r="M22">
        <f>IF($K22="لا",COUNTIF($K$5:$K22,"لا"),"")</f>
        <v/>
      </c>
    </row>
    <row r="23">
      <c r="A23" s="4" t="inlineStr">
        <is>
          <t>تقرير أجور المدربين</t>
        </is>
      </c>
      <c r="B23" s="5" t="inlineStr">
        <is>
          <t>ديف باتيل، Lotus Hill Yoga</t>
        </is>
      </c>
      <c r="C23" s="7" t="inlineStr">
        <is>
          <t>البريد الإلكتروني</t>
        </is>
      </c>
      <c r="D23" s="13" t="n">
        <v>46239</v>
      </c>
      <c r="E23" s="5" t="inlineStr">
        <is>
          <t>أعدّ الحصص لكل مدرب كل شهر</t>
        </is>
      </c>
      <c r="F23" s="14" t="n">
        <v>1788</v>
      </c>
      <c r="G23" s="9" t="inlineStr">
        <is>
          <t>لا</t>
        </is>
      </c>
      <c r="H23" s="15">
        <f>IF($A23="","",IFERROR(INDEX('سجل الطلبات'!$J$5:$J$204,MATCH($A23,'سجل الطلبات'!$A$5:$A$204,0))&amp;"",""))</f>
        <v/>
      </c>
      <c r="I23" s="7" t="inlineStr">
        <is>
          <t>مخطط لها</t>
        </is>
      </c>
      <c r="J23" s="13" t="n">
        <v>46295</v>
      </c>
      <c r="K23" s="16">
        <f>IF($A23="","",IF(AND($I23&lt;&gt;"",$J23&lt;&gt;"",$I23=$H23),"نعم","لا"))</f>
        <v/>
      </c>
      <c r="L23" s="5" t="n"/>
      <c r="M23">
        <f>IF($K23="لا",COUNTIF($K$5:$K23,"لا"),"")</f>
        <v/>
      </c>
    </row>
    <row r="24">
      <c r="A24" s="4" t="inlineStr">
        <is>
          <t>تقرير أجور المدربين</t>
        </is>
      </c>
      <c r="B24" s="5" t="inlineStr">
        <is>
          <t>روزا ليما، Lima Dance Studio</t>
        </is>
      </c>
      <c r="C24" s="7" t="inlineStr">
        <is>
          <t>البريد الإلكتروني</t>
        </is>
      </c>
      <c r="D24" s="13" t="n">
        <v>46277</v>
      </c>
      <c r="E24" s="5" t="inlineStr">
        <is>
          <t>تقرير أجور حسب المدرب</t>
        </is>
      </c>
      <c r="F24" s="14" t="n">
        <v>1788</v>
      </c>
      <c r="G24" s="9" t="inlineStr">
        <is>
          <t>لا</t>
        </is>
      </c>
      <c r="H24" s="15">
        <f>IF($A24="","",IFERROR(INDEX('سجل الطلبات'!$J$5:$J$204,MATCH($A24,'سجل الطلبات'!$A$5:$A$204,0))&amp;"",""))</f>
        <v/>
      </c>
      <c r="I24" s="7" t="inlineStr">
        <is>
          <t>مخطط لها</t>
        </is>
      </c>
      <c r="J24" s="13" t="n">
        <v>46295</v>
      </c>
      <c r="K24" s="16">
        <f>IF($A24="","",IF(AND($I24&lt;&gt;"",$J24&lt;&gt;"",$I24=$H24),"نعم","لا"))</f>
        <v/>
      </c>
      <c r="L24" s="5" t="n"/>
      <c r="M24">
        <f>IF($K24="لا",COUNTIF($K$5:$K24,"لا"),"")</f>
        <v/>
      </c>
    </row>
    <row r="25">
      <c r="A25" s="4" t="inlineStr">
        <is>
          <t>تقرير أجور المدربين</t>
        </is>
      </c>
      <c r="B25" s="5" t="inlineStr">
        <is>
          <t>توم بيكر، Becker Boxing Club</t>
        </is>
      </c>
      <c r="C25" s="7" t="inlineStr">
        <is>
          <t>الدردشة المباشرة</t>
        </is>
      </c>
      <c r="D25" s="13" t="n">
        <v>46291</v>
      </c>
      <c r="E25" s="5" t="inlineStr">
        <is>
          <t>كم حصة درّس كل مدرب؟</t>
        </is>
      </c>
      <c r="F25" s="14" t="n">
        <v>1068</v>
      </c>
      <c r="G25" s="9" t="inlineStr">
        <is>
          <t>لا</t>
        </is>
      </c>
      <c r="H25" s="15">
        <f>IF($A25="","",IFERROR(INDEX('سجل الطلبات'!$J$5:$J$204,MATCH($A25,'سجل الطلبات'!$A$5:$A$204,0))&amp;"",""))</f>
        <v/>
      </c>
      <c r="I25" s="7" t="inlineStr">
        <is>
          <t>قيد الدراسة</t>
        </is>
      </c>
      <c r="J25" s="13" t="n">
        <v>46291</v>
      </c>
      <c r="K25" s="16">
        <f>IF($A25="","",IF(AND($I25&lt;&gt;"",$J25&lt;&gt;"",$I25=$H25),"نعم","لا"))</f>
        <v/>
      </c>
      <c r="L25" s="5" t="inlineStr">
        <is>
          <t>آخر إجابة مرسلة: «قيد الدراسة»</t>
        </is>
      </c>
      <c r="M25">
        <f>IF($K25="لا",COUNTIF($K$5:$K25,"لا"),"")</f>
        <v/>
      </c>
    </row>
    <row r="26">
      <c r="A26" s="4" t="inlineStr">
        <is>
          <t>بطاقة العضوية في محفظة الهاتف</t>
        </is>
      </c>
      <c r="B26" s="5" t="inlineStr">
        <is>
          <t>بن أورتيز، Ortiz Strength</t>
        </is>
      </c>
      <c r="C26" s="7" t="inlineStr">
        <is>
          <t>البريد الإلكتروني</t>
        </is>
      </c>
      <c r="D26" s="13" t="n">
        <v>46302</v>
      </c>
      <c r="E26" s="5" t="inlineStr">
        <is>
          <t>بطاقة عضوية في محفظة الهاتف</t>
        </is>
      </c>
      <c r="F26" s="14" t="n">
        <v>1068</v>
      </c>
      <c r="G26" s="9" t="inlineStr">
        <is>
          <t>لا</t>
        </is>
      </c>
      <c r="H26" s="15">
        <f>IF($A26="","",IFERROR(INDEX('سجل الطلبات'!$J$5:$J$204,MATCH($A26,'سجل الطلبات'!$A$5:$A$204,0))&amp;"",""))</f>
        <v/>
      </c>
      <c r="I26" s="7" t="n"/>
      <c r="J26" s="13" t="n"/>
      <c r="K26" s="16">
        <f>IF($A26="","",IF(AND($I26&lt;&gt;"",$J26&lt;&gt;"",$I26=$H26),"نعم","لا"))</f>
        <v/>
      </c>
      <c r="L26" s="5" t="inlineStr">
        <is>
          <t>لم يُرسل رد بعد</t>
        </is>
      </c>
      <c r="M26">
        <f>IF($K26="لا",COUNTIF($K$5:$K26,"لا"),"")</f>
        <v/>
      </c>
    </row>
    <row r="27">
      <c r="A27" s="4" t="n"/>
      <c r="B27" s="5" t="n"/>
      <c r="C27" s="7" t="n"/>
      <c r="D27" s="13" t="n"/>
      <c r="E27" s="5" t="n"/>
      <c r="F27" s="14" t="n"/>
      <c r="G27" s="9" t="n"/>
      <c r="H27" s="15">
        <f>IF($A27="","",IFERROR(INDEX('سجل الطلبات'!$J$5:$J$204,MATCH($A27,'سجل الطلبات'!$A$5:$A$204,0))&amp;"",""))</f>
        <v/>
      </c>
      <c r="I27" s="7" t="n"/>
      <c r="J27" s="13" t="n"/>
      <c r="K27" s="16">
        <f>IF($A27="","",IF(AND($I27&lt;&gt;"",$J27&lt;&gt;"",$I27=$H27),"نعم","لا"))</f>
        <v/>
      </c>
      <c r="L27" s="5" t="n"/>
      <c r="M27">
        <f>IF($K27="لا",COUNTIF($K$5:$K27,"لا"),"")</f>
        <v/>
      </c>
    </row>
    <row r="28">
      <c r="A28" s="4" t="n"/>
      <c r="B28" s="5" t="n"/>
      <c r="C28" s="7" t="n"/>
      <c r="D28" s="13" t="n"/>
      <c r="E28" s="5" t="n"/>
      <c r="F28" s="14" t="n"/>
      <c r="G28" s="9" t="n"/>
      <c r="H28" s="15">
        <f>IF($A28="","",IFERROR(INDEX('سجل الطلبات'!$J$5:$J$204,MATCH($A28,'سجل الطلبات'!$A$5:$A$204,0))&amp;"",""))</f>
        <v/>
      </c>
      <c r="I28" s="7" t="n"/>
      <c r="J28" s="13" t="n"/>
      <c r="K28" s="16">
        <f>IF($A28="","",IF(AND($I28&lt;&gt;"",$J28&lt;&gt;"",$I28=$H28),"نعم","لا"))</f>
        <v/>
      </c>
      <c r="L28" s="5" t="n"/>
      <c r="M28">
        <f>IF($K28="لا",COUNTIF($K$5:$K28,"لا"),"")</f>
        <v/>
      </c>
    </row>
    <row r="29">
      <c r="A29" s="4" t="n"/>
      <c r="B29" s="5" t="n"/>
      <c r="C29" s="7" t="n"/>
      <c r="D29" s="13" t="n"/>
      <c r="E29" s="5" t="n"/>
      <c r="F29" s="14" t="n"/>
      <c r="G29" s="9" t="n"/>
      <c r="H29" s="15">
        <f>IF($A29="","",IFERROR(INDEX('سجل الطلبات'!$J$5:$J$204,MATCH($A29,'سجل الطلبات'!$A$5:$A$204,0))&amp;"",""))</f>
        <v/>
      </c>
      <c r="I29" s="7" t="n"/>
      <c r="J29" s="13" t="n"/>
      <c r="K29" s="16">
        <f>IF($A29="","",IF(AND($I29&lt;&gt;"",$J29&lt;&gt;"",$I29=$H29),"نعم","لا"))</f>
        <v/>
      </c>
      <c r="L29" s="5" t="n"/>
      <c r="M29">
        <f>IF($K29="لا",COUNTIF($K$5:$K29,"لا"),"")</f>
        <v/>
      </c>
    </row>
    <row r="30">
      <c r="A30" s="4" t="n"/>
      <c r="B30" s="5" t="n"/>
      <c r="C30" s="7" t="n"/>
      <c r="D30" s="13" t="n"/>
      <c r="E30" s="5" t="n"/>
      <c r="F30" s="14" t="n"/>
      <c r="G30" s="9" t="n"/>
      <c r="H30" s="15">
        <f>IF($A30="","",IFERROR(INDEX('سجل الطلبات'!$J$5:$J$204,MATCH($A30,'سجل الطلبات'!$A$5:$A$204,0))&amp;"",""))</f>
        <v/>
      </c>
      <c r="I30" s="7" t="n"/>
      <c r="J30" s="13" t="n"/>
      <c r="K30" s="16">
        <f>IF($A30="","",IF(AND($I30&lt;&gt;"",$J30&lt;&gt;"",$I30=$H30),"نعم","لا"))</f>
        <v/>
      </c>
      <c r="L30" s="5" t="n"/>
      <c r="M30">
        <f>IF($K30="لا",COUNTIF($K$5:$K30,"لا"),"")</f>
        <v/>
      </c>
    </row>
    <row r="31">
      <c r="A31" s="4" t="n"/>
      <c r="B31" s="5" t="n"/>
      <c r="C31" s="7" t="n"/>
      <c r="D31" s="13" t="n"/>
      <c r="E31" s="5" t="n"/>
      <c r="F31" s="14" t="n"/>
      <c r="G31" s="9" t="n"/>
      <c r="H31" s="15">
        <f>IF($A31="","",IFERROR(INDEX('سجل الطلبات'!$J$5:$J$204,MATCH($A31,'سجل الطلبات'!$A$5:$A$204,0))&amp;"",""))</f>
        <v/>
      </c>
      <c r="I31" s="7" t="n"/>
      <c r="J31" s="13" t="n"/>
      <c r="K31" s="16">
        <f>IF($A31="","",IF(AND($I31&lt;&gt;"",$J31&lt;&gt;"",$I31=$H31),"نعم","لا"))</f>
        <v/>
      </c>
      <c r="L31" s="5" t="n"/>
      <c r="M31">
        <f>IF($K31="لا",COUNTIF($K$5:$K31,"لا"),"")</f>
        <v/>
      </c>
    </row>
    <row r="32">
      <c r="A32" s="4" t="n"/>
      <c r="B32" s="5" t="n"/>
      <c r="C32" s="7" t="n"/>
      <c r="D32" s="13" t="n"/>
      <c r="E32" s="5" t="n"/>
      <c r="F32" s="14" t="n"/>
      <c r="G32" s="9" t="n"/>
      <c r="H32" s="15">
        <f>IF($A32="","",IFERROR(INDEX('سجل الطلبات'!$J$5:$J$204,MATCH($A32,'سجل الطلبات'!$A$5:$A$204,0))&amp;"",""))</f>
        <v/>
      </c>
      <c r="I32" s="7" t="n"/>
      <c r="J32" s="13" t="n"/>
      <c r="K32" s="16">
        <f>IF($A32="","",IF(AND($I32&lt;&gt;"",$J32&lt;&gt;"",$I32=$H32),"نعم","لا"))</f>
        <v/>
      </c>
      <c r="L32" s="5" t="n"/>
      <c r="M32">
        <f>IF($K32="لا",COUNTIF($K$5:$K32,"لا"),"")</f>
        <v/>
      </c>
    </row>
    <row r="33">
      <c r="A33" s="4" t="n"/>
      <c r="B33" s="5" t="n"/>
      <c r="C33" s="7" t="n"/>
      <c r="D33" s="13" t="n"/>
      <c r="E33" s="5" t="n"/>
      <c r="F33" s="14" t="n"/>
      <c r="G33" s="9" t="n"/>
      <c r="H33" s="15">
        <f>IF($A33="","",IFERROR(INDEX('سجل الطلبات'!$J$5:$J$204,MATCH($A33,'سجل الطلبات'!$A$5:$A$204,0))&amp;"",""))</f>
        <v/>
      </c>
      <c r="I33" s="7" t="n"/>
      <c r="J33" s="13" t="n"/>
      <c r="K33" s="16">
        <f>IF($A33="","",IF(AND($I33&lt;&gt;"",$J33&lt;&gt;"",$I33=$H33),"نعم","لا"))</f>
        <v/>
      </c>
      <c r="L33" s="5" t="n"/>
      <c r="M33">
        <f>IF($K33="لا",COUNTIF($K$5:$K33,"لا"),"")</f>
        <v/>
      </c>
    </row>
    <row r="34">
      <c r="A34" s="4" t="n"/>
      <c r="B34" s="5" t="n"/>
      <c r="C34" s="7" t="n"/>
      <c r="D34" s="13" t="n"/>
      <c r="E34" s="5" t="n"/>
      <c r="F34" s="14" t="n"/>
      <c r="G34" s="9" t="n"/>
      <c r="H34" s="15">
        <f>IF($A34="","",IFERROR(INDEX('سجل الطلبات'!$J$5:$J$204,MATCH($A34,'سجل الطلبات'!$A$5:$A$204,0))&amp;"",""))</f>
        <v/>
      </c>
      <c r="I34" s="7" t="n"/>
      <c r="J34" s="13" t="n"/>
      <c r="K34" s="16">
        <f>IF($A34="","",IF(AND($I34&lt;&gt;"",$J34&lt;&gt;"",$I34=$H34),"نعم","لا"))</f>
        <v/>
      </c>
      <c r="L34" s="5" t="n"/>
      <c r="M34">
        <f>IF($K34="لا",COUNTIF($K$5:$K34,"لا"),"")</f>
        <v/>
      </c>
    </row>
    <row r="35">
      <c r="A35" s="4" t="n"/>
      <c r="B35" s="5" t="n"/>
      <c r="C35" s="7" t="n"/>
      <c r="D35" s="13" t="n"/>
      <c r="E35" s="5" t="n"/>
      <c r="F35" s="14" t="n"/>
      <c r="G35" s="9" t="n"/>
      <c r="H35" s="15">
        <f>IF($A35="","",IFERROR(INDEX('سجل الطلبات'!$J$5:$J$204,MATCH($A35,'سجل الطلبات'!$A$5:$A$204,0))&amp;"",""))</f>
        <v/>
      </c>
      <c r="I35" s="7" t="n"/>
      <c r="J35" s="13" t="n"/>
      <c r="K35" s="16">
        <f>IF($A35="","",IF(AND($I35&lt;&gt;"",$J35&lt;&gt;"",$I35=$H35),"نعم","لا"))</f>
        <v/>
      </c>
      <c r="L35" s="5" t="n"/>
      <c r="M35">
        <f>IF($K35="لا",COUNTIF($K$5:$K35,"لا"),"")</f>
        <v/>
      </c>
    </row>
    <row r="36">
      <c r="A36" s="4" t="n"/>
      <c r="B36" s="5" t="n"/>
      <c r="C36" s="7" t="n"/>
      <c r="D36" s="13" t="n"/>
      <c r="E36" s="5" t="n"/>
      <c r="F36" s="14" t="n"/>
      <c r="G36" s="9" t="n"/>
      <c r="H36" s="15">
        <f>IF($A36="","",IFERROR(INDEX('سجل الطلبات'!$J$5:$J$204,MATCH($A36,'سجل الطلبات'!$A$5:$A$204,0))&amp;"",""))</f>
        <v/>
      </c>
      <c r="I36" s="7" t="n"/>
      <c r="J36" s="13" t="n"/>
      <c r="K36" s="16">
        <f>IF($A36="","",IF(AND($I36&lt;&gt;"",$J36&lt;&gt;"",$I36=$H36),"نعم","لا"))</f>
        <v/>
      </c>
      <c r="L36" s="5" t="n"/>
      <c r="M36">
        <f>IF($K36="لا",COUNTIF($K$5:$K36,"لا"),"")</f>
        <v/>
      </c>
    </row>
    <row r="37">
      <c r="A37" s="4" t="n"/>
      <c r="B37" s="5" t="n"/>
      <c r="C37" s="7" t="n"/>
      <c r="D37" s="13" t="n"/>
      <c r="E37" s="5" t="n"/>
      <c r="F37" s="14" t="n"/>
      <c r="G37" s="9" t="n"/>
      <c r="H37" s="15">
        <f>IF($A37="","",IFERROR(INDEX('سجل الطلبات'!$J$5:$J$204,MATCH($A37,'سجل الطلبات'!$A$5:$A$204,0))&amp;"",""))</f>
        <v/>
      </c>
      <c r="I37" s="7" t="n"/>
      <c r="J37" s="13" t="n"/>
      <c r="K37" s="16">
        <f>IF($A37="","",IF(AND($I37&lt;&gt;"",$J37&lt;&gt;"",$I37=$H37),"نعم","لا"))</f>
        <v/>
      </c>
      <c r="L37" s="5" t="n"/>
      <c r="M37">
        <f>IF($K37="لا",COUNTIF($K$5:$K37,"لا"),"")</f>
        <v/>
      </c>
    </row>
    <row r="38">
      <c r="A38" s="4" t="n"/>
      <c r="B38" s="5" t="n"/>
      <c r="C38" s="7" t="n"/>
      <c r="D38" s="13" t="n"/>
      <c r="E38" s="5" t="n"/>
      <c r="F38" s="14" t="n"/>
      <c r="G38" s="9" t="n"/>
      <c r="H38" s="15">
        <f>IF($A38="","",IFERROR(INDEX('سجل الطلبات'!$J$5:$J$204,MATCH($A38,'سجل الطلبات'!$A$5:$A$204,0))&amp;"",""))</f>
        <v/>
      </c>
      <c r="I38" s="7" t="n"/>
      <c r="J38" s="13" t="n"/>
      <c r="K38" s="16">
        <f>IF($A38="","",IF(AND($I38&lt;&gt;"",$J38&lt;&gt;"",$I38=$H38),"نعم","لا"))</f>
        <v/>
      </c>
      <c r="L38" s="5" t="n"/>
      <c r="M38">
        <f>IF($K38="لا",COUNTIF($K$5:$K38,"لا"),"")</f>
        <v/>
      </c>
    </row>
    <row r="39">
      <c r="A39" s="4" t="n"/>
      <c r="B39" s="5" t="n"/>
      <c r="C39" s="7" t="n"/>
      <c r="D39" s="13" t="n"/>
      <c r="E39" s="5" t="n"/>
      <c r="F39" s="14" t="n"/>
      <c r="G39" s="9" t="n"/>
      <c r="H39" s="15">
        <f>IF($A39="","",IFERROR(INDEX('سجل الطلبات'!$J$5:$J$204,MATCH($A39,'سجل الطلبات'!$A$5:$A$204,0))&amp;"",""))</f>
        <v/>
      </c>
      <c r="I39" s="7" t="n"/>
      <c r="J39" s="13" t="n"/>
      <c r="K39" s="16">
        <f>IF($A39="","",IF(AND($I39&lt;&gt;"",$J39&lt;&gt;"",$I39=$H39),"نعم","لا"))</f>
        <v/>
      </c>
      <c r="L39" s="5" t="n"/>
      <c r="M39">
        <f>IF($K39="لا",COUNTIF($K$5:$K39,"لا"),"")</f>
        <v/>
      </c>
    </row>
    <row r="40">
      <c r="A40" s="4" t="n"/>
      <c r="B40" s="5" t="n"/>
      <c r="C40" s="7" t="n"/>
      <c r="D40" s="13" t="n"/>
      <c r="E40" s="5" t="n"/>
      <c r="F40" s="14" t="n"/>
      <c r="G40" s="9" t="n"/>
      <c r="H40" s="15">
        <f>IF($A40="","",IFERROR(INDEX('سجل الطلبات'!$J$5:$J$204,MATCH($A40,'سجل الطلبات'!$A$5:$A$204,0))&amp;"",""))</f>
        <v/>
      </c>
      <c r="I40" s="7" t="n"/>
      <c r="J40" s="13" t="n"/>
      <c r="K40" s="16">
        <f>IF($A40="","",IF(AND($I40&lt;&gt;"",$J40&lt;&gt;"",$I40=$H40),"نعم","لا"))</f>
        <v/>
      </c>
      <c r="L40" s="5" t="n"/>
      <c r="M40">
        <f>IF($K40="لا",COUNTIF($K$5:$K40,"لا"),"")</f>
        <v/>
      </c>
    </row>
    <row r="41">
      <c r="A41" s="4" t="n"/>
      <c r="B41" s="5" t="n"/>
      <c r="C41" s="7" t="n"/>
      <c r="D41" s="13" t="n"/>
      <c r="E41" s="5" t="n"/>
      <c r="F41" s="14" t="n"/>
      <c r="G41" s="9" t="n"/>
      <c r="H41" s="15">
        <f>IF($A41="","",IFERROR(INDEX('سجل الطلبات'!$J$5:$J$204,MATCH($A41,'سجل الطلبات'!$A$5:$A$204,0))&amp;"",""))</f>
        <v/>
      </c>
      <c r="I41" s="7" t="n"/>
      <c r="J41" s="13" t="n"/>
      <c r="K41" s="16">
        <f>IF($A41="","",IF(AND($I41&lt;&gt;"",$J41&lt;&gt;"",$I41=$H41),"نعم","لا"))</f>
        <v/>
      </c>
      <c r="L41" s="5" t="n"/>
      <c r="M41">
        <f>IF($K41="لا",COUNTIF($K$5:$K41,"لا"),"")</f>
        <v/>
      </c>
    </row>
    <row r="42">
      <c r="A42" s="4" t="n"/>
      <c r="B42" s="5" t="n"/>
      <c r="C42" s="7" t="n"/>
      <c r="D42" s="13" t="n"/>
      <c r="E42" s="5" t="n"/>
      <c r="F42" s="14" t="n"/>
      <c r="G42" s="9" t="n"/>
      <c r="H42" s="15">
        <f>IF($A42="","",IFERROR(INDEX('سجل الطلبات'!$J$5:$J$204,MATCH($A42,'سجل الطلبات'!$A$5:$A$204,0))&amp;"",""))</f>
        <v/>
      </c>
      <c r="I42" s="7" t="n"/>
      <c r="J42" s="13" t="n"/>
      <c r="K42" s="16">
        <f>IF($A42="","",IF(AND($I42&lt;&gt;"",$J42&lt;&gt;"",$I42=$H42),"نعم","لا"))</f>
        <v/>
      </c>
      <c r="L42" s="5" t="n"/>
      <c r="M42">
        <f>IF($K42="لا",COUNTIF($K$5:$K42,"لا"),"")</f>
        <v/>
      </c>
    </row>
    <row r="43">
      <c r="A43" s="4" t="n"/>
      <c r="B43" s="5" t="n"/>
      <c r="C43" s="7" t="n"/>
      <c r="D43" s="13" t="n"/>
      <c r="E43" s="5" t="n"/>
      <c r="F43" s="14" t="n"/>
      <c r="G43" s="9" t="n"/>
      <c r="H43" s="15">
        <f>IF($A43="","",IFERROR(INDEX('سجل الطلبات'!$J$5:$J$204,MATCH($A43,'سجل الطلبات'!$A$5:$A$204,0))&amp;"",""))</f>
        <v/>
      </c>
      <c r="I43" s="7" t="n"/>
      <c r="J43" s="13" t="n"/>
      <c r="K43" s="16">
        <f>IF($A43="","",IF(AND($I43&lt;&gt;"",$J43&lt;&gt;"",$I43=$H43),"نعم","لا"))</f>
        <v/>
      </c>
      <c r="L43" s="5" t="n"/>
      <c r="M43">
        <f>IF($K43="لا",COUNTIF($K$5:$K43,"لا"),"")</f>
        <v/>
      </c>
    </row>
    <row r="44">
      <c r="A44" s="4" t="n"/>
      <c r="B44" s="5" t="n"/>
      <c r="C44" s="7" t="n"/>
      <c r="D44" s="13" t="n"/>
      <c r="E44" s="5" t="n"/>
      <c r="F44" s="14" t="n"/>
      <c r="G44" s="9" t="n"/>
      <c r="H44" s="15">
        <f>IF($A44="","",IFERROR(INDEX('سجل الطلبات'!$J$5:$J$204,MATCH($A44,'سجل الطلبات'!$A$5:$A$204,0))&amp;"",""))</f>
        <v/>
      </c>
      <c r="I44" s="7" t="n"/>
      <c r="J44" s="13" t="n"/>
      <c r="K44" s="16">
        <f>IF($A44="","",IF(AND($I44&lt;&gt;"",$J44&lt;&gt;"",$I44=$H44),"نعم","لا"))</f>
        <v/>
      </c>
      <c r="L44" s="5" t="n"/>
      <c r="M44">
        <f>IF($K44="لا",COUNTIF($K$5:$K44,"لا"),"")</f>
        <v/>
      </c>
    </row>
    <row r="45">
      <c r="A45" s="4" t="n"/>
      <c r="B45" s="5" t="n"/>
      <c r="C45" s="7" t="n"/>
      <c r="D45" s="13" t="n"/>
      <c r="E45" s="5" t="n"/>
      <c r="F45" s="14" t="n"/>
      <c r="G45" s="9" t="n"/>
      <c r="H45" s="15">
        <f>IF($A45="","",IFERROR(INDEX('سجل الطلبات'!$J$5:$J$204,MATCH($A45,'سجل الطلبات'!$A$5:$A$204,0))&amp;"",""))</f>
        <v/>
      </c>
      <c r="I45" s="7" t="n"/>
      <c r="J45" s="13" t="n"/>
      <c r="K45" s="16">
        <f>IF($A45="","",IF(AND($I45&lt;&gt;"",$J45&lt;&gt;"",$I45=$H45),"نعم","لا"))</f>
        <v/>
      </c>
      <c r="L45" s="5" t="n"/>
      <c r="M45">
        <f>IF($K45="لا",COUNTIF($K$5:$K45,"لا"),"")</f>
        <v/>
      </c>
    </row>
    <row r="46">
      <c r="A46" s="4" t="n"/>
      <c r="B46" s="5" t="n"/>
      <c r="C46" s="7" t="n"/>
      <c r="D46" s="13" t="n"/>
      <c r="E46" s="5" t="n"/>
      <c r="F46" s="14" t="n"/>
      <c r="G46" s="9" t="n"/>
      <c r="H46" s="15">
        <f>IF($A46="","",IFERROR(INDEX('سجل الطلبات'!$J$5:$J$204,MATCH($A46,'سجل الطلبات'!$A$5:$A$204,0))&amp;"",""))</f>
        <v/>
      </c>
      <c r="I46" s="7" t="n"/>
      <c r="J46" s="13" t="n"/>
      <c r="K46" s="16">
        <f>IF($A46="","",IF(AND($I46&lt;&gt;"",$J46&lt;&gt;"",$I46=$H46),"نعم","لا"))</f>
        <v/>
      </c>
      <c r="L46" s="5" t="n"/>
      <c r="M46">
        <f>IF($K46="لا",COUNTIF($K$5:$K46,"لا"),"")</f>
        <v/>
      </c>
    </row>
    <row r="47">
      <c r="A47" s="4" t="n"/>
      <c r="B47" s="5" t="n"/>
      <c r="C47" s="7" t="n"/>
      <c r="D47" s="13" t="n"/>
      <c r="E47" s="5" t="n"/>
      <c r="F47" s="14" t="n"/>
      <c r="G47" s="9" t="n"/>
      <c r="H47" s="15">
        <f>IF($A47="","",IFERROR(INDEX('سجل الطلبات'!$J$5:$J$204,MATCH($A47,'سجل الطلبات'!$A$5:$A$204,0))&amp;"",""))</f>
        <v/>
      </c>
      <c r="I47" s="7" t="n"/>
      <c r="J47" s="13" t="n"/>
      <c r="K47" s="16">
        <f>IF($A47="","",IF(AND($I47&lt;&gt;"",$J47&lt;&gt;"",$I47=$H47),"نعم","لا"))</f>
        <v/>
      </c>
      <c r="L47" s="5" t="n"/>
      <c r="M47">
        <f>IF($K47="لا",COUNTIF($K$5:$K47,"لا"),"")</f>
        <v/>
      </c>
    </row>
    <row r="48">
      <c r="A48" s="4" t="n"/>
      <c r="B48" s="5" t="n"/>
      <c r="C48" s="7" t="n"/>
      <c r="D48" s="13" t="n"/>
      <c r="E48" s="5" t="n"/>
      <c r="F48" s="14" t="n"/>
      <c r="G48" s="9" t="n"/>
      <c r="H48" s="15">
        <f>IF($A48="","",IFERROR(INDEX('سجل الطلبات'!$J$5:$J$204,MATCH($A48,'سجل الطلبات'!$A$5:$A$204,0))&amp;"",""))</f>
        <v/>
      </c>
      <c r="I48" s="7" t="n"/>
      <c r="J48" s="13" t="n"/>
      <c r="K48" s="16">
        <f>IF($A48="","",IF(AND($I48&lt;&gt;"",$J48&lt;&gt;"",$I48=$H48),"نعم","لا"))</f>
        <v/>
      </c>
      <c r="L48" s="5" t="n"/>
      <c r="M48">
        <f>IF($K48="لا",COUNTIF($K$5:$K48,"لا"),"")</f>
        <v/>
      </c>
    </row>
    <row r="49">
      <c r="A49" s="4" t="n"/>
      <c r="B49" s="5" t="n"/>
      <c r="C49" s="7" t="n"/>
      <c r="D49" s="13" t="n"/>
      <c r="E49" s="5" t="n"/>
      <c r="F49" s="14" t="n"/>
      <c r="G49" s="9" t="n"/>
      <c r="H49" s="15">
        <f>IF($A49="","",IFERROR(INDEX('سجل الطلبات'!$J$5:$J$204,MATCH($A49,'سجل الطلبات'!$A$5:$A$204,0))&amp;"",""))</f>
        <v/>
      </c>
      <c r="I49" s="7" t="n"/>
      <c r="J49" s="13" t="n"/>
      <c r="K49" s="16">
        <f>IF($A49="","",IF(AND($I49&lt;&gt;"",$J49&lt;&gt;"",$I49=$H49),"نعم","لا"))</f>
        <v/>
      </c>
      <c r="L49" s="5" t="n"/>
      <c r="M49">
        <f>IF($K49="لا",COUNTIF($K$5:$K49,"لا"),"")</f>
        <v/>
      </c>
    </row>
    <row r="50">
      <c r="A50" s="4" t="n"/>
      <c r="B50" s="5" t="n"/>
      <c r="C50" s="7" t="n"/>
      <c r="D50" s="13" t="n"/>
      <c r="E50" s="5" t="n"/>
      <c r="F50" s="14" t="n"/>
      <c r="G50" s="9" t="n"/>
      <c r="H50" s="15">
        <f>IF($A50="","",IFERROR(INDEX('سجل الطلبات'!$J$5:$J$204,MATCH($A50,'سجل الطلبات'!$A$5:$A$204,0))&amp;"",""))</f>
        <v/>
      </c>
      <c r="I50" s="7" t="n"/>
      <c r="J50" s="13" t="n"/>
      <c r="K50" s="16">
        <f>IF($A50="","",IF(AND($I50&lt;&gt;"",$J50&lt;&gt;"",$I50=$H50),"نعم","لا"))</f>
        <v/>
      </c>
      <c r="L50" s="5" t="n"/>
      <c r="M50">
        <f>IF($K50="لا",COUNTIF($K$5:$K50,"لا"),"")</f>
        <v/>
      </c>
    </row>
    <row r="51">
      <c r="A51" s="4" t="n"/>
      <c r="B51" s="5" t="n"/>
      <c r="C51" s="7" t="n"/>
      <c r="D51" s="13" t="n"/>
      <c r="E51" s="5" t="n"/>
      <c r="F51" s="14" t="n"/>
      <c r="G51" s="9" t="n"/>
      <c r="H51" s="15">
        <f>IF($A51="","",IFERROR(INDEX('سجل الطلبات'!$J$5:$J$204,MATCH($A51,'سجل الطلبات'!$A$5:$A$204,0))&amp;"",""))</f>
        <v/>
      </c>
      <c r="I51" s="7" t="n"/>
      <c r="J51" s="13" t="n"/>
      <c r="K51" s="16">
        <f>IF($A51="","",IF(AND($I51&lt;&gt;"",$J51&lt;&gt;"",$I51=$H51),"نعم","لا"))</f>
        <v/>
      </c>
      <c r="L51" s="5" t="n"/>
      <c r="M51">
        <f>IF($K51="لا",COUNTIF($K$5:$K51,"لا"),"")</f>
        <v/>
      </c>
    </row>
    <row r="52">
      <c r="A52" s="4" t="n"/>
      <c r="B52" s="5" t="n"/>
      <c r="C52" s="7" t="n"/>
      <c r="D52" s="13" t="n"/>
      <c r="E52" s="5" t="n"/>
      <c r="F52" s="14" t="n"/>
      <c r="G52" s="9" t="n"/>
      <c r="H52" s="15">
        <f>IF($A52="","",IFERROR(INDEX('سجل الطلبات'!$J$5:$J$204,MATCH($A52,'سجل الطلبات'!$A$5:$A$204,0))&amp;"",""))</f>
        <v/>
      </c>
      <c r="I52" s="7" t="n"/>
      <c r="J52" s="13" t="n"/>
      <c r="K52" s="16">
        <f>IF($A52="","",IF(AND($I52&lt;&gt;"",$J52&lt;&gt;"",$I52=$H52),"نعم","لا"))</f>
        <v/>
      </c>
      <c r="L52" s="5" t="n"/>
      <c r="M52">
        <f>IF($K52="لا",COUNTIF($K$5:$K52,"لا"),"")</f>
        <v/>
      </c>
    </row>
    <row r="53">
      <c r="A53" s="4" t="n"/>
      <c r="B53" s="5" t="n"/>
      <c r="C53" s="7" t="n"/>
      <c r="D53" s="13" t="n"/>
      <c r="E53" s="5" t="n"/>
      <c r="F53" s="14" t="n"/>
      <c r="G53" s="9" t="n"/>
      <c r="H53" s="15">
        <f>IF($A53="","",IFERROR(INDEX('سجل الطلبات'!$J$5:$J$204,MATCH($A53,'سجل الطلبات'!$A$5:$A$204,0))&amp;"",""))</f>
        <v/>
      </c>
      <c r="I53" s="7" t="n"/>
      <c r="J53" s="13" t="n"/>
      <c r="K53" s="16">
        <f>IF($A53="","",IF(AND($I53&lt;&gt;"",$J53&lt;&gt;"",$I53=$H53),"نعم","لا"))</f>
        <v/>
      </c>
      <c r="L53" s="5" t="n"/>
      <c r="M53">
        <f>IF($K53="لا",COUNTIF($K$5:$K53,"لا"),"")</f>
        <v/>
      </c>
    </row>
    <row r="54">
      <c r="A54" s="4" t="n"/>
      <c r="B54" s="5" t="n"/>
      <c r="C54" s="7" t="n"/>
      <c r="D54" s="13" t="n"/>
      <c r="E54" s="5" t="n"/>
      <c r="F54" s="14" t="n"/>
      <c r="G54" s="9" t="n"/>
      <c r="H54" s="15">
        <f>IF($A54="","",IFERROR(INDEX('سجل الطلبات'!$J$5:$J$204,MATCH($A54,'سجل الطلبات'!$A$5:$A$204,0))&amp;"",""))</f>
        <v/>
      </c>
      <c r="I54" s="7" t="n"/>
      <c r="J54" s="13" t="n"/>
      <c r="K54" s="16">
        <f>IF($A54="","",IF(AND($I54&lt;&gt;"",$J54&lt;&gt;"",$I54=$H54),"نعم","لا"))</f>
        <v/>
      </c>
      <c r="L54" s="5" t="n"/>
      <c r="M54">
        <f>IF($K54="لا",COUNTIF($K$5:$K54,"لا"),"")</f>
        <v/>
      </c>
    </row>
    <row r="55">
      <c r="A55" s="4" t="n"/>
      <c r="B55" s="5" t="n"/>
      <c r="C55" s="7" t="n"/>
      <c r="D55" s="13" t="n"/>
      <c r="E55" s="5" t="n"/>
      <c r="F55" s="14" t="n"/>
      <c r="G55" s="9" t="n"/>
      <c r="H55" s="15">
        <f>IF($A55="","",IFERROR(INDEX('سجل الطلبات'!$J$5:$J$204,MATCH($A55,'سجل الطلبات'!$A$5:$A$204,0))&amp;"",""))</f>
        <v/>
      </c>
      <c r="I55" s="7" t="n"/>
      <c r="J55" s="13" t="n"/>
      <c r="K55" s="16">
        <f>IF($A55="","",IF(AND($I55&lt;&gt;"",$J55&lt;&gt;"",$I55=$H55),"نعم","لا"))</f>
        <v/>
      </c>
      <c r="L55" s="5" t="n"/>
      <c r="M55">
        <f>IF($K55="لا",COUNTIF($K$5:$K55,"لا"),"")</f>
        <v/>
      </c>
    </row>
    <row r="56">
      <c r="A56" s="4" t="n"/>
      <c r="B56" s="5" t="n"/>
      <c r="C56" s="7" t="n"/>
      <c r="D56" s="13" t="n"/>
      <c r="E56" s="5" t="n"/>
      <c r="F56" s="14" t="n"/>
      <c r="G56" s="9" t="n"/>
      <c r="H56" s="15">
        <f>IF($A56="","",IFERROR(INDEX('سجل الطلبات'!$J$5:$J$204,MATCH($A56,'سجل الطلبات'!$A$5:$A$204,0))&amp;"",""))</f>
        <v/>
      </c>
      <c r="I56" s="7" t="n"/>
      <c r="J56" s="13" t="n"/>
      <c r="K56" s="16">
        <f>IF($A56="","",IF(AND($I56&lt;&gt;"",$J56&lt;&gt;"",$I56=$H56),"نعم","لا"))</f>
        <v/>
      </c>
      <c r="L56" s="5" t="n"/>
      <c r="M56">
        <f>IF($K56="لا",COUNTIF($K$5:$K56,"لا"),"")</f>
        <v/>
      </c>
    </row>
    <row r="57">
      <c r="A57" s="4" t="n"/>
      <c r="B57" s="5" t="n"/>
      <c r="C57" s="7" t="n"/>
      <c r="D57" s="13" t="n"/>
      <c r="E57" s="5" t="n"/>
      <c r="F57" s="14" t="n"/>
      <c r="G57" s="9" t="n"/>
      <c r="H57" s="15">
        <f>IF($A57="","",IFERROR(INDEX('سجل الطلبات'!$J$5:$J$204,MATCH($A57,'سجل الطلبات'!$A$5:$A$204,0))&amp;"",""))</f>
        <v/>
      </c>
      <c r="I57" s="7" t="n"/>
      <c r="J57" s="13" t="n"/>
      <c r="K57" s="16">
        <f>IF($A57="","",IF(AND($I57&lt;&gt;"",$J57&lt;&gt;"",$I57=$H57),"نعم","لا"))</f>
        <v/>
      </c>
      <c r="L57" s="5" t="n"/>
      <c r="M57">
        <f>IF($K57="لا",COUNTIF($K$5:$K57,"لا"),"")</f>
        <v/>
      </c>
    </row>
    <row r="58">
      <c r="A58" s="4" t="n"/>
      <c r="B58" s="5" t="n"/>
      <c r="C58" s="7" t="n"/>
      <c r="D58" s="13" t="n"/>
      <c r="E58" s="5" t="n"/>
      <c r="F58" s="14" t="n"/>
      <c r="G58" s="9" t="n"/>
      <c r="H58" s="15">
        <f>IF($A58="","",IFERROR(INDEX('سجل الطلبات'!$J$5:$J$204,MATCH($A58,'سجل الطلبات'!$A$5:$A$204,0))&amp;"",""))</f>
        <v/>
      </c>
      <c r="I58" s="7" t="n"/>
      <c r="J58" s="13" t="n"/>
      <c r="K58" s="16">
        <f>IF($A58="","",IF(AND($I58&lt;&gt;"",$J58&lt;&gt;"",$I58=$H58),"نعم","لا"))</f>
        <v/>
      </c>
      <c r="L58" s="5" t="n"/>
      <c r="M58">
        <f>IF($K58="لا",COUNTIF($K$5:$K58,"لا"),"")</f>
        <v/>
      </c>
    </row>
    <row r="59">
      <c r="A59" s="4" t="n"/>
      <c r="B59" s="5" t="n"/>
      <c r="C59" s="7" t="n"/>
      <c r="D59" s="13" t="n"/>
      <c r="E59" s="5" t="n"/>
      <c r="F59" s="14" t="n"/>
      <c r="G59" s="9" t="n"/>
      <c r="H59" s="15">
        <f>IF($A59="","",IFERROR(INDEX('سجل الطلبات'!$J$5:$J$204,MATCH($A59,'سجل الطلبات'!$A$5:$A$204,0))&amp;"",""))</f>
        <v/>
      </c>
      <c r="I59" s="7" t="n"/>
      <c r="J59" s="13" t="n"/>
      <c r="K59" s="16">
        <f>IF($A59="","",IF(AND($I59&lt;&gt;"",$J59&lt;&gt;"",$I59=$H59),"نعم","لا"))</f>
        <v/>
      </c>
      <c r="L59" s="5" t="n"/>
      <c r="M59">
        <f>IF($K59="لا",COUNTIF($K$5:$K59,"لا"),"")</f>
        <v/>
      </c>
    </row>
    <row r="60">
      <c r="A60" s="4" t="n"/>
      <c r="B60" s="5" t="n"/>
      <c r="C60" s="7" t="n"/>
      <c r="D60" s="13" t="n"/>
      <c r="E60" s="5" t="n"/>
      <c r="F60" s="14" t="n"/>
      <c r="G60" s="9" t="n"/>
      <c r="H60" s="15">
        <f>IF($A60="","",IFERROR(INDEX('سجل الطلبات'!$J$5:$J$204,MATCH($A60,'سجل الطلبات'!$A$5:$A$204,0))&amp;"",""))</f>
        <v/>
      </c>
      <c r="I60" s="7" t="n"/>
      <c r="J60" s="13" t="n"/>
      <c r="K60" s="16">
        <f>IF($A60="","",IF(AND($I60&lt;&gt;"",$J60&lt;&gt;"",$I60=$H60),"نعم","لا"))</f>
        <v/>
      </c>
      <c r="L60" s="5" t="n"/>
      <c r="M60">
        <f>IF($K60="لا",COUNTIF($K$5:$K60,"لا"),"")</f>
        <v/>
      </c>
    </row>
    <row r="61">
      <c r="A61" s="4" t="n"/>
      <c r="B61" s="5" t="n"/>
      <c r="C61" s="7" t="n"/>
      <c r="D61" s="13" t="n"/>
      <c r="E61" s="5" t="n"/>
      <c r="F61" s="14" t="n"/>
      <c r="G61" s="9" t="n"/>
      <c r="H61" s="15">
        <f>IF($A61="","",IFERROR(INDEX('سجل الطلبات'!$J$5:$J$204,MATCH($A61,'سجل الطلبات'!$A$5:$A$204,0))&amp;"",""))</f>
        <v/>
      </c>
      <c r="I61" s="7" t="n"/>
      <c r="J61" s="13" t="n"/>
      <c r="K61" s="16">
        <f>IF($A61="","",IF(AND($I61&lt;&gt;"",$J61&lt;&gt;"",$I61=$H61),"نعم","لا"))</f>
        <v/>
      </c>
      <c r="L61" s="5" t="n"/>
      <c r="M61">
        <f>IF($K61="لا",COUNTIF($K$5:$K61,"لا"),"")</f>
        <v/>
      </c>
    </row>
    <row r="62">
      <c r="A62" s="4" t="n"/>
      <c r="B62" s="5" t="n"/>
      <c r="C62" s="7" t="n"/>
      <c r="D62" s="13" t="n"/>
      <c r="E62" s="5" t="n"/>
      <c r="F62" s="14" t="n"/>
      <c r="G62" s="9" t="n"/>
      <c r="H62" s="15">
        <f>IF($A62="","",IFERROR(INDEX('سجل الطلبات'!$J$5:$J$204,MATCH($A62,'سجل الطلبات'!$A$5:$A$204,0))&amp;"",""))</f>
        <v/>
      </c>
      <c r="I62" s="7" t="n"/>
      <c r="J62" s="13" t="n"/>
      <c r="K62" s="16">
        <f>IF($A62="","",IF(AND($I62&lt;&gt;"",$J62&lt;&gt;"",$I62=$H62),"نعم","لا"))</f>
        <v/>
      </c>
      <c r="L62" s="5" t="n"/>
      <c r="M62">
        <f>IF($K62="لا",COUNTIF($K$5:$K62,"لا"),"")</f>
        <v/>
      </c>
    </row>
    <row r="63">
      <c r="A63" s="4" t="n"/>
      <c r="B63" s="5" t="n"/>
      <c r="C63" s="7" t="n"/>
      <c r="D63" s="13" t="n"/>
      <c r="E63" s="5" t="n"/>
      <c r="F63" s="14" t="n"/>
      <c r="G63" s="9" t="n"/>
      <c r="H63" s="15">
        <f>IF($A63="","",IFERROR(INDEX('سجل الطلبات'!$J$5:$J$204,MATCH($A63,'سجل الطلبات'!$A$5:$A$204,0))&amp;"",""))</f>
        <v/>
      </c>
      <c r="I63" s="7" t="n"/>
      <c r="J63" s="13" t="n"/>
      <c r="K63" s="16">
        <f>IF($A63="","",IF(AND($I63&lt;&gt;"",$J63&lt;&gt;"",$I63=$H63),"نعم","لا"))</f>
        <v/>
      </c>
      <c r="L63" s="5" t="n"/>
      <c r="M63">
        <f>IF($K63="لا",COUNTIF($K$5:$K63,"لا"),"")</f>
        <v/>
      </c>
    </row>
    <row r="64">
      <c r="A64" s="4" t="n"/>
      <c r="B64" s="5" t="n"/>
      <c r="C64" s="7" t="n"/>
      <c r="D64" s="13" t="n"/>
      <c r="E64" s="5" t="n"/>
      <c r="F64" s="14" t="n"/>
      <c r="G64" s="9" t="n"/>
      <c r="H64" s="15">
        <f>IF($A64="","",IFERROR(INDEX('سجل الطلبات'!$J$5:$J$204,MATCH($A64,'سجل الطلبات'!$A$5:$A$204,0))&amp;"",""))</f>
        <v/>
      </c>
      <c r="I64" s="7" t="n"/>
      <c r="J64" s="13" t="n"/>
      <c r="K64" s="16">
        <f>IF($A64="","",IF(AND($I64&lt;&gt;"",$J64&lt;&gt;"",$I64=$H64),"نعم","لا"))</f>
        <v/>
      </c>
      <c r="L64" s="5" t="n"/>
      <c r="M64">
        <f>IF($K64="لا",COUNTIF($K$5:$K64,"لا"),"")</f>
        <v/>
      </c>
    </row>
    <row r="65">
      <c r="A65" s="4" t="n"/>
      <c r="B65" s="5" t="n"/>
      <c r="C65" s="7" t="n"/>
      <c r="D65" s="13" t="n"/>
      <c r="E65" s="5" t="n"/>
      <c r="F65" s="14" t="n"/>
      <c r="G65" s="9" t="n"/>
      <c r="H65" s="15">
        <f>IF($A65="","",IFERROR(INDEX('سجل الطلبات'!$J$5:$J$204,MATCH($A65,'سجل الطلبات'!$A$5:$A$204,0))&amp;"",""))</f>
        <v/>
      </c>
      <c r="I65" s="7" t="n"/>
      <c r="J65" s="13" t="n"/>
      <c r="K65" s="16">
        <f>IF($A65="","",IF(AND($I65&lt;&gt;"",$J65&lt;&gt;"",$I65=$H65),"نعم","لا"))</f>
        <v/>
      </c>
      <c r="L65" s="5" t="n"/>
      <c r="M65">
        <f>IF($K65="لا",COUNTIF($K$5:$K65,"لا"),"")</f>
        <v/>
      </c>
    </row>
    <row r="66">
      <c r="A66" s="4" t="n"/>
      <c r="B66" s="5" t="n"/>
      <c r="C66" s="7" t="n"/>
      <c r="D66" s="13" t="n"/>
      <c r="E66" s="5" t="n"/>
      <c r="F66" s="14" t="n"/>
      <c r="G66" s="9" t="n"/>
      <c r="H66" s="15">
        <f>IF($A66="","",IFERROR(INDEX('سجل الطلبات'!$J$5:$J$204,MATCH($A66,'سجل الطلبات'!$A$5:$A$204,0))&amp;"",""))</f>
        <v/>
      </c>
      <c r="I66" s="7" t="n"/>
      <c r="J66" s="13" t="n"/>
      <c r="K66" s="16">
        <f>IF($A66="","",IF(AND($I66&lt;&gt;"",$J66&lt;&gt;"",$I66=$H66),"نعم","لا"))</f>
        <v/>
      </c>
      <c r="L66" s="5" t="n"/>
      <c r="M66">
        <f>IF($K66="لا",COUNTIF($K$5:$K66,"لا"),"")</f>
        <v/>
      </c>
    </row>
    <row r="67">
      <c r="A67" s="4" t="n"/>
      <c r="B67" s="5" t="n"/>
      <c r="C67" s="7" t="n"/>
      <c r="D67" s="13" t="n"/>
      <c r="E67" s="5" t="n"/>
      <c r="F67" s="14" t="n"/>
      <c r="G67" s="9" t="n"/>
      <c r="H67" s="15">
        <f>IF($A67="","",IFERROR(INDEX('سجل الطلبات'!$J$5:$J$204,MATCH($A67,'سجل الطلبات'!$A$5:$A$204,0))&amp;"",""))</f>
        <v/>
      </c>
      <c r="I67" s="7" t="n"/>
      <c r="J67" s="13" t="n"/>
      <c r="K67" s="16">
        <f>IF($A67="","",IF(AND($I67&lt;&gt;"",$J67&lt;&gt;"",$I67=$H67),"نعم","لا"))</f>
        <v/>
      </c>
      <c r="L67" s="5" t="n"/>
      <c r="M67">
        <f>IF($K67="لا",COUNTIF($K$5:$K67,"لا"),"")</f>
        <v/>
      </c>
    </row>
    <row r="68">
      <c r="A68" s="4" t="n"/>
      <c r="B68" s="5" t="n"/>
      <c r="C68" s="7" t="n"/>
      <c r="D68" s="13" t="n"/>
      <c r="E68" s="5" t="n"/>
      <c r="F68" s="14" t="n"/>
      <c r="G68" s="9" t="n"/>
      <c r="H68" s="15">
        <f>IF($A68="","",IFERROR(INDEX('سجل الطلبات'!$J$5:$J$204,MATCH($A68,'سجل الطلبات'!$A$5:$A$204,0))&amp;"",""))</f>
        <v/>
      </c>
      <c r="I68" s="7" t="n"/>
      <c r="J68" s="13" t="n"/>
      <c r="K68" s="16">
        <f>IF($A68="","",IF(AND($I68&lt;&gt;"",$J68&lt;&gt;"",$I68=$H68),"نعم","لا"))</f>
        <v/>
      </c>
      <c r="L68" s="5" t="n"/>
      <c r="M68">
        <f>IF($K68="لا",COUNTIF($K$5:$K68,"لا"),"")</f>
        <v/>
      </c>
    </row>
    <row r="69">
      <c r="A69" s="4" t="n"/>
      <c r="B69" s="5" t="n"/>
      <c r="C69" s="7" t="n"/>
      <c r="D69" s="13" t="n"/>
      <c r="E69" s="5" t="n"/>
      <c r="F69" s="14" t="n"/>
      <c r="G69" s="9" t="n"/>
      <c r="H69" s="15">
        <f>IF($A69="","",IFERROR(INDEX('سجل الطلبات'!$J$5:$J$204,MATCH($A69,'سجل الطلبات'!$A$5:$A$204,0))&amp;"",""))</f>
        <v/>
      </c>
      <c r="I69" s="7" t="n"/>
      <c r="J69" s="13" t="n"/>
      <c r="K69" s="16">
        <f>IF($A69="","",IF(AND($I69&lt;&gt;"",$J69&lt;&gt;"",$I69=$H69),"نعم","لا"))</f>
        <v/>
      </c>
      <c r="L69" s="5" t="n"/>
      <c r="M69">
        <f>IF($K69="لا",COUNTIF($K$5:$K69,"لا"),"")</f>
        <v/>
      </c>
    </row>
    <row r="70">
      <c r="A70" s="4" t="n"/>
      <c r="B70" s="5" t="n"/>
      <c r="C70" s="7" t="n"/>
      <c r="D70" s="13" t="n"/>
      <c r="E70" s="5" t="n"/>
      <c r="F70" s="14" t="n"/>
      <c r="G70" s="9" t="n"/>
      <c r="H70" s="15">
        <f>IF($A70="","",IFERROR(INDEX('سجل الطلبات'!$J$5:$J$204,MATCH($A70,'سجل الطلبات'!$A$5:$A$204,0))&amp;"",""))</f>
        <v/>
      </c>
      <c r="I70" s="7" t="n"/>
      <c r="J70" s="13" t="n"/>
      <c r="K70" s="16">
        <f>IF($A70="","",IF(AND($I70&lt;&gt;"",$J70&lt;&gt;"",$I70=$H70),"نعم","لا"))</f>
        <v/>
      </c>
      <c r="L70" s="5" t="n"/>
      <c r="M70">
        <f>IF($K70="لا",COUNTIF($K$5:$K70,"لا"),"")</f>
        <v/>
      </c>
    </row>
    <row r="71">
      <c r="A71" s="4" t="n"/>
      <c r="B71" s="5" t="n"/>
      <c r="C71" s="7" t="n"/>
      <c r="D71" s="13" t="n"/>
      <c r="E71" s="5" t="n"/>
      <c r="F71" s="14" t="n"/>
      <c r="G71" s="9" t="n"/>
      <c r="H71" s="15">
        <f>IF($A71="","",IFERROR(INDEX('سجل الطلبات'!$J$5:$J$204,MATCH($A71,'سجل الطلبات'!$A$5:$A$204,0))&amp;"",""))</f>
        <v/>
      </c>
      <c r="I71" s="7" t="n"/>
      <c r="J71" s="13" t="n"/>
      <c r="K71" s="16">
        <f>IF($A71="","",IF(AND($I71&lt;&gt;"",$J71&lt;&gt;"",$I71=$H71),"نعم","لا"))</f>
        <v/>
      </c>
      <c r="L71" s="5" t="n"/>
      <c r="M71">
        <f>IF($K71="لا",COUNTIF($K$5:$K71,"لا"),"")</f>
        <v/>
      </c>
    </row>
    <row r="72">
      <c r="A72" s="4" t="n"/>
      <c r="B72" s="5" t="n"/>
      <c r="C72" s="7" t="n"/>
      <c r="D72" s="13" t="n"/>
      <c r="E72" s="5" t="n"/>
      <c r="F72" s="14" t="n"/>
      <c r="G72" s="9" t="n"/>
      <c r="H72" s="15">
        <f>IF($A72="","",IFERROR(INDEX('سجل الطلبات'!$J$5:$J$204,MATCH($A72,'سجل الطلبات'!$A$5:$A$204,0))&amp;"",""))</f>
        <v/>
      </c>
      <c r="I72" s="7" t="n"/>
      <c r="J72" s="13" t="n"/>
      <c r="K72" s="16">
        <f>IF($A72="","",IF(AND($I72&lt;&gt;"",$J72&lt;&gt;"",$I72=$H72),"نعم","لا"))</f>
        <v/>
      </c>
      <c r="L72" s="5" t="n"/>
      <c r="M72">
        <f>IF($K72="لا",COUNTIF($K$5:$K72,"لا"),"")</f>
        <v/>
      </c>
    </row>
    <row r="73">
      <c r="A73" s="4" t="n"/>
      <c r="B73" s="5" t="n"/>
      <c r="C73" s="7" t="n"/>
      <c r="D73" s="13" t="n"/>
      <c r="E73" s="5" t="n"/>
      <c r="F73" s="14" t="n"/>
      <c r="G73" s="9" t="n"/>
      <c r="H73" s="15">
        <f>IF($A73="","",IFERROR(INDEX('سجل الطلبات'!$J$5:$J$204,MATCH($A73,'سجل الطلبات'!$A$5:$A$204,0))&amp;"",""))</f>
        <v/>
      </c>
      <c r="I73" s="7" t="n"/>
      <c r="J73" s="13" t="n"/>
      <c r="K73" s="16">
        <f>IF($A73="","",IF(AND($I73&lt;&gt;"",$J73&lt;&gt;"",$I73=$H73),"نعم","لا"))</f>
        <v/>
      </c>
      <c r="L73" s="5" t="n"/>
      <c r="M73">
        <f>IF($K73="لا",COUNTIF($K$5:$K73,"لا"),"")</f>
        <v/>
      </c>
    </row>
    <row r="74">
      <c r="A74" s="4" t="n"/>
      <c r="B74" s="5" t="n"/>
      <c r="C74" s="7" t="n"/>
      <c r="D74" s="13" t="n"/>
      <c r="E74" s="5" t="n"/>
      <c r="F74" s="14" t="n"/>
      <c r="G74" s="9" t="n"/>
      <c r="H74" s="15">
        <f>IF($A74="","",IFERROR(INDEX('سجل الطلبات'!$J$5:$J$204,MATCH($A74,'سجل الطلبات'!$A$5:$A$204,0))&amp;"",""))</f>
        <v/>
      </c>
      <c r="I74" s="7" t="n"/>
      <c r="J74" s="13" t="n"/>
      <c r="K74" s="16">
        <f>IF($A74="","",IF(AND($I74&lt;&gt;"",$J74&lt;&gt;"",$I74=$H74),"نعم","لا"))</f>
        <v/>
      </c>
      <c r="L74" s="5" t="n"/>
      <c r="M74">
        <f>IF($K74="لا",COUNTIF($K$5:$K74,"لا"),"")</f>
        <v/>
      </c>
    </row>
    <row r="75">
      <c r="A75" s="4" t="n"/>
      <c r="B75" s="5" t="n"/>
      <c r="C75" s="7" t="n"/>
      <c r="D75" s="13" t="n"/>
      <c r="E75" s="5" t="n"/>
      <c r="F75" s="14" t="n"/>
      <c r="G75" s="9" t="n"/>
      <c r="H75" s="15">
        <f>IF($A75="","",IFERROR(INDEX('سجل الطلبات'!$J$5:$J$204,MATCH($A75,'سجل الطلبات'!$A$5:$A$204,0))&amp;"",""))</f>
        <v/>
      </c>
      <c r="I75" s="7" t="n"/>
      <c r="J75" s="13" t="n"/>
      <c r="K75" s="16">
        <f>IF($A75="","",IF(AND($I75&lt;&gt;"",$J75&lt;&gt;"",$I75=$H75),"نعم","لا"))</f>
        <v/>
      </c>
      <c r="L75" s="5" t="n"/>
      <c r="M75">
        <f>IF($K75="لا",COUNTIF($K$5:$K75,"لا"),"")</f>
        <v/>
      </c>
    </row>
    <row r="76">
      <c r="A76" s="4" t="n"/>
      <c r="B76" s="5" t="n"/>
      <c r="C76" s="7" t="n"/>
      <c r="D76" s="13" t="n"/>
      <c r="E76" s="5" t="n"/>
      <c r="F76" s="14" t="n"/>
      <c r="G76" s="9" t="n"/>
      <c r="H76" s="15">
        <f>IF($A76="","",IFERROR(INDEX('سجل الطلبات'!$J$5:$J$204,MATCH($A76,'سجل الطلبات'!$A$5:$A$204,0))&amp;"",""))</f>
        <v/>
      </c>
      <c r="I76" s="7" t="n"/>
      <c r="J76" s="13" t="n"/>
      <c r="K76" s="16">
        <f>IF($A76="","",IF(AND($I76&lt;&gt;"",$J76&lt;&gt;"",$I76=$H76),"نعم","لا"))</f>
        <v/>
      </c>
      <c r="L76" s="5" t="n"/>
      <c r="M76">
        <f>IF($K76="لا",COUNTIF($K$5:$K76,"لا"),"")</f>
        <v/>
      </c>
    </row>
    <row r="77">
      <c r="A77" s="4" t="n"/>
      <c r="B77" s="5" t="n"/>
      <c r="C77" s="7" t="n"/>
      <c r="D77" s="13" t="n"/>
      <c r="E77" s="5" t="n"/>
      <c r="F77" s="14" t="n"/>
      <c r="G77" s="9" t="n"/>
      <c r="H77" s="15">
        <f>IF($A77="","",IFERROR(INDEX('سجل الطلبات'!$J$5:$J$204,MATCH($A77,'سجل الطلبات'!$A$5:$A$204,0))&amp;"",""))</f>
        <v/>
      </c>
      <c r="I77" s="7" t="n"/>
      <c r="J77" s="13" t="n"/>
      <c r="K77" s="16">
        <f>IF($A77="","",IF(AND($I77&lt;&gt;"",$J77&lt;&gt;"",$I77=$H77),"نعم","لا"))</f>
        <v/>
      </c>
      <c r="L77" s="5" t="n"/>
      <c r="M77">
        <f>IF($K77="لا",COUNTIF($K$5:$K77,"لا"),"")</f>
        <v/>
      </c>
    </row>
    <row r="78">
      <c r="A78" s="4" t="n"/>
      <c r="B78" s="5" t="n"/>
      <c r="C78" s="7" t="n"/>
      <c r="D78" s="13" t="n"/>
      <c r="E78" s="5" t="n"/>
      <c r="F78" s="14" t="n"/>
      <c r="G78" s="9" t="n"/>
      <c r="H78" s="15">
        <f>IF($A78="","",IFERROR(INDEX('سجل الطلبات'!$J$5:$J$204,MATCH($A78,'سجل الطلبات'!$A$5:$A$204,0))&amp;"",""))</f>
        <v/>
      </c>
      <c r="I78" s="7" t="n"/>
      <c r="J78" s="13" t="n"/>
      <c r="K78" s="16">
        <f>IF($A78="","",IF(AND($I78&lt;&gt;"",$J78&lt;&gt;"",$I78=$H78),"نعم","لا"))</f>
        <v/>
      </c>
      <c r="L78" s="5" t="n"/>
      <c r="M78">
        <f>IF($K78="لا",COUNTIF($K$5:$K78,"لا"),"")</f>
        <v/>
      </c>
    </row>
    <row r="79">
      <c r="A79" s="4" t="n"/>
      <c r="B79" s="5" t="n"/>
      <c r="C79" s="7" t="n"/>
      <c r="D79" s="13" t="n"/>
      <c r="E79" s="5" t="n"/>
      <c r="F79" s="14" t="n"/>
      <c r="G79" s="9" t="n"/>
      <c r="H79" s="15">
        <f>IF($A79="","",IFERROR(INDEX('سجل الطلبات'!$J$5:$J$204,MATCH($A79,'سجل الطلبات'!$A$5:$A$204,0))&amp;"",""))</f>
        <v/>
      </c>
      <c r="I79" s="7" t="n"/>
      <c r="J79" s="13" t="n"/>
      <c r="K79" s="16">
        <f>IF($A79="","",IF(AND($I79&lt;&gt;"",$J79&lt;&gt;"",$I79=$H79),"نعم","لا"))</f>
        <v/>
      </c>
      <c r="L79" s="5" t="n"/>
      <c r="M79">
        <f>IF($K79="لا",COUNTIF($K$5:$K79,"لا"),"")</f>
        <v/>
      </c>
    </row>
    <row r="80">
      <c r="A80" s="4" t="n"/>
      <c r="B80" s="5" t="n"/>
      <c r="C80" s="7" t="n"/>
      <c r="D80" s="13" t="n"/>
      <c r="E80" s="5" t="n"/>
      <c r="F80" s="14" t="n"/>
      <c r="G80" s="9" t="n"/>
      <c r="H80" s="15">
        <f>IF($A80="","",IFERROR(INDEX('سجل الطلبات'!$J$5:$J$204,MATCH($A80,'سجل الطلبات'!$A$5:$A$204,0))&amp;"",""))</f>
        <v/>
      </c>
      <c r="I80" s="7" t="n"/>
      <c r="J80" s="13" t="n"/>
      <c r="K80" s="16">
        <f>IF($A80="","",IF(AND($I80&lt;&gt;"",$J80&lt;&gt;"",$I80=$H80),"نعم","لا"))</f>
        <v/>
      </c>
      <c r="L80" s="5" t="n"/>
      <c r="M80">
        <f>IF($K80="لا",COUNTIF($K$5:$K80,"لا"),"")</f>
        <v/>
      </c>
    </row>
    <row r="81">
      <c r="A81" s="4" t="n"/>
      <c r="B81" s="5" t="n"/>
      <c r="C81" s="7" t="n"/>
      <c r="D81" s="13" t="n"/>
      <c r="E81" s="5" t="n"/>
      <c r="F81" s="14" t="n"/>
      <c r="G81" s="9" t="n"/>
      <c r="H81" s="15">
        <f>IF($A81="","",IFERROR(INDEX('سجل الطلبات'!$J$5:$J$204,MATCH($A81,'سجل الطلبات'!$A$5:$A$204,0))&amp;"",""))</f>
        <v/>
      </c>
      <c r="I81" s="7" t="n"/>
      <c r="J81" s="13" t="n"/>
      <c r="K81" s="16">
        <f>IF($A81="","",IF(AND($I81&lt;&gt;"",$J81&lt;&gt;"",$I81=$H81),"نعم","لا"))</f>
        <v/>
      </c>
      <c r="L81" s="5" t="n"/>
      <c r="M81">
        <f>IF($K81="لا",COUNTIF($K$5:$K81,"لا"),"")</f>
        <v/>
      </c>
    </row>
    <row r="82">
      <c r="A82" s="4" t="n"/>
      <c r="B82" s="5" t="n"/>
      <c r="C82" s="7" t="n"/>
      <c r="D82" s="13" t="n"/>
      <c r="E82" s="5" t="n"/>
      <c r="F82" s="14" t="n"/>
      <c r="G82" s="9" t="n"/>
      <c r="H82" s="15">
        <f>IF($A82="","",IFERROR(INDEX('سجل الطلبات'!$J$5:$J$204,MATCH($A82,'سجل الطلبات'!$A$5:$A$204,0))&amp;"",""))</f>
        <v/>
      </c>
      <c r="I82" s="7" t="n"/>
      <c r="J82" s="13" t="n"/>
      <c r="K82" s="16">
        <f>IF($A82="","",IF(AND($I82&lt;&gt;"",$J82&lt;&gt;"",$I82=$H82),"نعم","لا"))</f>
        <v/>
      </c>
      <c r="L82" s="5" t="n"/>
      <c r="M82">
        <f>IF($K82="لا",COUNTIF($K$5:$K82,"لا"),"")</f>
        <v/>
      </c>
    </row>
    <row r="83">
      <c r="A83" s="4" t="n"/>
      <c r="B83" s="5" t="n"/>
      <c r="C83" s="7" t="n"/>
      <c r="D83" s="13" t="n"/>
      <c r="E83" s="5" t="n"/>
      <c r="F83" s="14" t="n"/>
      <c r="G83" s="9" t="n"/>
      <c r="H83" s="15">
        <f>IF($A83="","",IFERROR(INDEX('سجل الطلبات'!$J$5:$J$204,MATCH($A83,'سجل الطلبات'!$A$5:$A$204,0))&amp;"",""))</f>
        <v/>
      </c>
      <c r="I83" s="7" t="n"/>
      <c r="J83" s="13" t="n"/>
      <c r="K83" s="16">
        <f>IF($A83="","",IF(AND($I83&lt;&gt;"",$J83&lt;&gt;"",$I83=$H83),"نعم","لا"))</f>
        <v/>
      </c>
      <c r="L83" s="5" t="n"/>
      <c r="M83">
        <f>IF($K83="لا",COUNTIF($K$5:$K83,"لا"),"")</f>
        <v/>
      </c>
    </row>
    <row r="84">
      <c r="A84" s="4" t="n"/>
      <c r="B84" s="5" t="n"/>
      <c r="C84" s="7" t="n"/>
      <c r="D84" s="13" t="n"/>
      <c r="E84" s="5" t="n"/>
      <c r="F84" s="14" t="n"/>
      <c r="G84" s="9" t="n"/>
      <c r="H84" s="15">
        <f>IF($A84="","",IFERROR(INDEX('سجل الطلبات'!$J$5:$J$204,MATCH($A84,'سجل الطلبات'!$A$5:$A$204,0))&amp;"",""))</f>
        <v/>
      </c>
      <c r="I84" s="7" t="n"/>
      <c r="J84" s="13" t="n"/>
      <c r="K84" s="16">
        <f>IF($A84="","",IF(AND($I84&lt;&gt;"",$J84&lt;&gt;"",$I84=$H84),"نعم","لا"))</f>
        <v/>
      </c>
      <c r="L84" s="5" t="n"/>
      <c r="M84">
        <f>IF($K84="لا",COUNTIF($K$5:$K84,"لا"),"")</f>
        <v/>
      </c>
    </row>
    <row r="85">
      <c r="A85" s="4" t="n"/>
      <c r="B85" s="5" t="n"/>
      <c r="C85" s="7" t="n"/>
      <c r="D85" s="13" t="n"/>
      <c r="E85" s="5" t="n"/>
      <c r="F85" s="14" t="n"/>
      <c r="G85" s="9" t="n"/>
      <c r="H85" s="15">
        <f>IF($A85="","",IFERROR(INDEX('سجل الطلبات'!$J$5:$J$204,MATCH($A85,'سجل الطلبات'!$A$5:$A$204,0))&amp;"",""))</f>
        <v/>
      </c>
      <c r="I85" s="7" t="n"/>
      <c r="J85" s="13" t="n"/>
      <c r="K85" s="16">
        <f>IF($A85="","",IF(AND($I85&lt;&gt;"",$J85&lt;&gt;"",$I85=$H85),"نعم","لا"))</f>
        <v/>
      </c>
      <c r="L85" s="5" t="n"/>
      <c r="M85">
        <f>IF($K85="لا",COUNTIF($K$5:$K85,"لا"),"")</f>
        <v/>
      </c>
    </row>
    <row r="86">
      <c r="A86" s="4" t="n"/>
      <c r="B86" s="5" t="n"/>
      <c r="C86" s="7" t="n"/>
      <c r="D86" s="13" t="n"/>
      <c r="E86" s="5" t="n"/>
      <c r="F86" s="14" t="n"/>
      <c r="G86" s="9" t="n"/>
      <c r="H86" s="15">
        <f>IF($A86="","",IFERROR(INDEX('سجل الطلبات'!$J$5:$J$204,MATCH($A86,'سجل الطلبات'!$A$5:$A$204,0))&amp;"",""))</f>
        <v/>
      </c>
      <c r="I86" s="7" t="n"/>
      <c r="J86" s="13" t="n"/>
      <c r="K86" s="16">
        <f>IF($A86="","",IF(AND($I86&lt;&gt;"",$J86&lt;&gt;"",$I86=$H86),"نعم","لا"))</f>
        <v/>
      </c>
      <c r="L86" s="5" t="n"/>
      <c r="M86">
        <f>IF($K86="لا",COUNTIF($K$5:$K86,"لا"),"")</f>
        <v/>
      </c>
    </row>
    <row r="87">
      <c r="A87" s="4" t="n"/>
      <c r="B87" s="5" t="n"/>
      <c r="C87" s="7" t="n"/>
      <c r="D87" s="13" t="n"/>
      <c r="E87" s="5" t="n"/>
      <c r="F87" s="14" t="n"/>
      <c r="G87" s="9" t="n"/>
      <c r="H87" s="15">
        <f>IF($A87="","",IFERROR(INDEX('سجل الطلبات'!$J$5:$J$204,MATCH($A87,'سجل الطلبات'!$A$5:$A$204,0))&amp;"",""))</f>
        <v/>
      </c>
      <c r="I87" s="7" t="n"/>
      <c r="J87" s="13" t="n"/>
      <c r="K87" s="16">
        <f>IF($A87="","",IF(AND($I87&lt;&gt;"",$J87&lt;&gt;"",$I87=$H87),"نعم","لا"))</f>
        <v/>
      </c>
      <c r="L87" s="5" t="n"/>
      <c r="M87">
        <f>IF($K87="لا",COUNTIF($K$5:$K87,"لا"),"")</f>
        <v/>
      </c>
    </row>
    <row r="88">
      <c r="A88" s="4" t="n"/>
      <c r="B88" s="5" t="n"/>
      <c r="C88" s="7" t="n"/>
      <c r="D88" s="13" t="n"/>
      <c r="E88" s="5" t="n"/>
      <c r="F88" s="14" t="n"/>
      <c r="G88" s="9" t="n"/>
      <c r="H88" s="15">
        <f>IF($A88="","",IFERROR(INDEX('سجل الطلبات'!$J$5:$J$204,MATCH($A88,'سجل الطلبات'!$A$5:$A$204,0))&amp;"",""))</f>
        <v/>
      </c>
      <c r="I88" s="7" t="n"/>
      <c r="J88" s="13" t="n"/>
      <c r="K88" s="16">
        <f>IF($A88="","",IF(AND($I88&lt;&gt;"",$J88&lt;&gt;"",$I88=$H88),"نعم","لا"))</f>
        <v/>
      </c>
      <c r="L88" s="5" t="n"/>
      <c r="M88">
        <f>IF($K88="لا",COUNTIF($K$5:$K88,"لا"),"")</f>
        <v/>
      </c>
    </row>
    <row r="89">
      <c r="A89" s="4" t="n"/>
      <c r="B89" s="5" t="n"/>
      <c r="C89" s="7" t="n"/>
      <c r="D89" s="13" t="n"/>
      <c r="E89" s="5" t="n"/>
      <c r="F89" s="14" t="n"/>
      <c r="G89" s="9" t="n"/>
      <c r="H89" s="15">
        <f>IF($A89="","",IFERROR(INDEX('سجل الطلبات'!$J$5:$J$204,MATCH($A89,'سجل الطلبات'!$A$5:$A$204,0))&amp;"",""))</f>
        <v/>
      </c>
      <c r="I89" s="7" t="n"/>
      <c r="J89" s="13" t="n"/>
      <c r="K89" s="16">
        <f>IF($A89="","",IF(AND($I89&lt;&gt;"",$J89&lt;&gt;"",$I89=$H89),"نعم","لا"))</f>
        <v/>
      </c>
      <c r="L89" s="5" t="n"/>
      <c r="M89">
        <f>IF($K89="لا",COUNTIF($K$5:$K89,"لا"),"")</f>
        <v/>
      </c>
    </row>
    <row r="90">
      <c r="A90" s="4" t="n"/>
      <c r="B90" s="5" t="n"/>
      <c r="C90" s="7" t="n"/>
      <c r="D90" s="13" t="n"/>
      <c r="E90" s="5" t="n"/>
      <c r="F90" s="14" t="n"/>
      <c r="G90" s="9" t="n"/>
      <c r="H90" s="15">
        <f>IF($A90="","",IFERROR(INDEX('سجل الطلبات'!$J$5:$J$204,MATCH($A90,'سجل الطلبات'!$A$5:$A$204,0))&amp;"",""))</f>
        <v/>
      </c>
      <c r="I90" s="7" t="n"/>
      <c r="J90" s="13" t="n"/>
      <c r="K90" s="16">
        <f>IF($A90="","",IF(AND($I90&lt;&gt;"",$J90&lt;&gt;"",$I90=$H90),"نعم","لا"))</f>
        <v/>
      </c>
      <c r="L90" s="5" t="n"/>
      <c r="M90">
        <f>IF($K90="لا",COUNTIF($K$5:$K90,"لا"),"")</f>
        <v/>
      </c>
    </row>
    <row r="91">
      <c r="A91" s="4" t="n"/>
      <c r="B91" s="5" t="n"/>
      <c r="C91" s="7" t="n"/>
      <c r="D91" s="13" t="n"/>
      <c r="E91" s="5" t="n"/>
      <c r="F91" s="14" t="n"/>
      <c r="G91" s="9" t="n"/>
      <c r="H91" s="15">
        <f>IF($A91="","",IFERROR(INDEX('سجل الطلبات'!$J$5:$J$204,MATCH($A91,'سجل الطلبات'!$A$5:$A$204,0))&amp;"",""))</f>
        <v/>
      </c>
      <c r="I91" s="7" t="n"/>
      <c r="J91" s="13" t="n"/>
      <c r="K91" s="16">
        <f>IF($A91="","",IF(AND($I91&lt;&gt;"",$J91&lt;&gt;"",$I91=$H91),"نعم","لا"))</f>
        <v/>
      </c>
      <c r="L91" s="5" t="n"/>
      <c r="M91">
        <f>IF($K91="لا",COUNTIF($K$5:$K91,"لا"),"")</f>
        <v/>
      </c>
    </row>
    <row r="92">
      <c r="A92" s="4" t="n"/>
      <c r="B92" s="5" t="n"/>
      <c r="C92" s="7" t="n"/>
      <c r="D92" s="13" t="n"/>
      <c r="E92" s="5" t="n"/>
      <c r="F92" s="14" t="n"/>
      <c r="G92" s="9" t="n"/>
      <c r="H92" s="15">
        <f>IF($A92="","",IFERROR(INDEX('سجل الطلبات'!$J$5:$J$204,MATCH($A92,'سجل الطلبات'!$A$5:$A$204,0))&amp;"",""))</f>
        <v/>
      </c>
      <c r="I92" s="7" t="n"/>
      <c r="J92" s="13" t="n"/>
      <c r="K92" s="16">
        <f>IF($A92="","",IF(AND($I92&lt;&gt;"",$J92&lt;&gt;"",$I92=$H92),"نعم","لا"))</f>
        <v/>
      </c>
      <c r="L92" s="5" t="n"/>
      <c r="M92">
        <f>IF($K92="لا",COUNTIF($K$5:$K92,"لا"),"")</f>
        <v/>
      </c>
    </row>
    <row r="93">
      <c r="A93" s="4" t="n"/>
      <c r="B93" s="5" t="n"/>
      <c r="C93" s="7" t="n"/>
      <c r="D93" s="13" t="n"/>
      <c r="E93" s="5" t="n"/>
      <c r="F93" s="14" t="n"/>
      <c r="G93" s="9" t="n"/>
      <c r="H93" s="15">
        <f>IF($A93="","",IFERROR(INDEX('سجل الطلبات'!$J$5:$J$204,MATCH($A93,'سجل الطلبات'!$A$5:$A$204,0))&amp;"",""))</f>
        <v/>
      </c>
      <c r="I93" s="7" t="n"/>
      <c r="J93" s="13" t="n"/>
      <c r="K93" s="16">
        <f>IF($A93="","",IF(AND($I93&lt;&gt;"",$J93&lt;&gt;"",$I93=$H93),"نعم","لا"))</f>
        <v/>
      </c>
      <c r="L93" s="5" t="n"/>
      <c r="M93">
        <f>IF($K93="لا",COUNTIF($K$5:$K93,"لا"),"")</f>
        <v/>
      </c>
    </row>
    <row r="94">
      <c r="A94" s="4" t="n"/>
      <c r="B94" s="5" t="n"/>
      <c r="C94" s="7" t="n"/>
      <c r="D94" s="13" t="n"/>
      <c r="E94" s="5" t="n"/>
      <c r="F94" s="14" t="n"/>
      <c r="G94" s="9" t="n"/>
      <c r="H94" s="15">
        <f>IF($A94="","",IFERROR(INDEX('سجل الطلبات'!$J$5:$J$204,MATCH($A94,'سجل الطلبات'!$A$5:$A$204,0))&amp;"",""))</f>
        <v/>
      </c>
      <c r="I94" s="7" t="n"/>
      <c r="J94" s="13" t="n"/>
      <c r="K94" s="16">
        <f>IF($A94="","",IF(AND($I94&lt;&gt;"",$J94&lt;&gt;"",$I94=$H94),"نعم","لا"))</f>
        <v/>
      </c>
      <c r="L94" s="5" t="n"/>
      <c r="M94">
        <f>IF($K94="لا",COUNTIF($K$5:$K94,"لا"),"")</f>
        <v/>
      </c>
    </row>
    <row r="95">
      <c r="A95" s="4" t="n"/>
      <c r="B95" s="5" t="n"/>
      <c r="C95" s="7" t="n"/>
      <c r="D95" s="13" t="n"/>
      <c r="E95" s="5" t="n"/>
      <c r="F95" s="14" t="n"/>
      <c r="G95" s="9" t="n"/>
      <c r="H95" s="15">
        <f>IF($A95="","",IFERROR(INDEX('سجل الطلبات'!$J$5:$J$204,MATCH($A95,'سجل الطلبات'!$A$5:$A$204,0))&amp;"",""))</f>
        <v/>
      </c>
      <c r="I95" s="7" t="n"/>
      <c r="J95" s="13" t="n"/>
      <c r="K95" s="16">
        <f>IF($A95="","",IF(AND($I95&lt;&gt;"",$J95&lt;&gt;"",$I95=$H95),"نعم","لا"))</f>
        <v/>
      </c>
      <c r="L95" s="5" t="n"/>
      <c r="M95">
        <f>IF($K95="لا",COUNTIF($K$5:$K95,"لا"),"")</f>
        <v/>
      </c>
    </row>
    <row r="96">
      <c r="A96" s="4" t="n"/>
      <c r="B96" s="5" t="n"/>
      <c r="C96" s="7" t="n"/>
      <c r="D96" s="13" t="n"/>
      <c r="E96" s="5" t="n"/>
      <c r="F96" s="14" t="n"/>
      <c r="G96" s="9" t="n"/>
      <c r="H96" s="15">
        <f>IF($A96="","",IFERROR(INDEX('سجل الطلبات'!$J$5:$J$204,MATCH($A96,'سجل الطلبات'!$A$5:$A$204,0))&amp;"",""))</f>
        <v/>
      </c>
      <c r="I96" s="7" t="n"/>
      <c r="J96" s="13" t="n"/>
      <c r="K96" s="16">
        <f>IF($A96="","",IF(AND($I96&lt;&gt;"",$J96&lt;&gt;"",$I96=$H96),"نعم","لا"))</f>
        <v/>
      </c>
      <c r="L96" s="5" t="n"/>
      <c r="M96">
        <f>IF($K96="لا",COUNTIF($K$5:$K96,"لا"),"")</f>
        <v/>
      </c>
    </row>
    <row r="97">
      <c r="A97" s="4" t="n"/>
      <c r="B97" s="5" t="n"/>
      <c r="C97" s="7" t="n"/>
      <c r="D97" s="13" t="n"/>
      <c r="E97" s="5" t="n"/>
      <c r="F97" s="14" t="n"/>
      <c r="G97" s="9" t="n"/>
      <c r="H97" s="15">
        <f>IF($A97="","",IFERROR(INDEX('سجل الطلبات'!$J$5:$J$204,MATCH($A97,'سجل الطلبات'!$A$5:$A$204,0))&amp;"",""))</f>
        <v/>
      </c>
      <c r="I97" s="7" t="n"/>
      <c r="J97" s="13" t="n"/>
      <c r="K97" s="16">
        <f>IF($A97="","",IF(AND($I97&lt;&gt;"",$J97&lt;&gt;"",$I97=$H97),"نعم","لا"))</f>
        <v/>
      </c>
      <c r="L97" s="5" t="n"/>
      <c r="M97">
        <f>IF($K97="لا",COUNTIF($K$5:$K97,"لا"),"")</f>
        <v/>
      </c>
    </row>
    <row r="98">
      <c r="A98" s="4" t="n"/>
      <c r="B98" s="5" t="n"/>
      <c r="C98" s="7" t="n"/>
      <c r="D98" s="13" t="n"/>
      <c r="E98" s="5" t="n"/>
      <c r="F98" s="14" t="n"/>
      <c r="G98" s="9" t="n"/>
      <c r="H98" s="15">
        <f>IF($A98="","",IFERROR(INDEX('سجل الطلبات'!$J$5:$J$204,MATCH($A98,'سجل الطلبات'!$A$5:$A$204,0))&amp;"",""))</f>
        <v/>
      </c>
      <c r="I98" s="7" t="n"/>
      <c r="J98" s="13" t="n"/>
      <c r="K98" s="16">
        <f>IF($A98="","",IF(AND($I98&lt;&gt;"",$J98&lt;&gt;"",$I98=$H98),"نعم","لا"))</f>
        <v/>
      </c>
      <c r="L98" s="5" t="n"/>
      <c r="M98">
        <f>IF($K98="لا",COUNTIF($K$5:$K98,"لا"),"")</f>
        <v/>
      </c>
    </row>
    <row r="99">
      <c r="A99" s="4" t="n"/>
      <c r="B99" s="5" t="n"/>
      <c r="C99" s="7" t="n"/>
      <c r="D99" s="13" t="n"/>
      <c r="E99" s="5" t="n"/>
      <c r="F99" s="14" t="n"/>
      <c r="G99" s="9" t="n"/>
      <c r="H99" s="15">
        <f>IF($A99="","",IFERROR(INDEX('سجل الطلبات'!$J$5:$J$204,MATCH($A99,'سجل الطلبات'!$A$5:$A$204,0))&amp;"",""))</f>
        <v/>
      </c>
      <c r="I99" s="7" t="n"/>
      <c r="J99" s="13" t="n"/>
      <c r="K99" s="16">
        <f>IF($A99="","",IF(AND($I99&lt;&gt;"",$J99&lt;&gt;"",$I99=$H99),"نعم","لا"))</f>
        <v/>
      </c>
      <c r="L99" s="5" t="n"/>
      <c r="M99">
        <f>IF($K99="لا",COUNTIF($K$5:$K99,"لا"),"")</f>
        <v/>
      </c>
    </row>
    <row r="100">
      <c r="A100" s="4" t="n"/>
      <c r="B100" s="5" t="n"/>
      <c r="C100" s="7" t="n"/>
      <c r="D100" s="13" t="n"/>
      <c r="E100" s="5" t="n"/>
      <c r="F100" s="14" t="n"/>
      <c r="G100" s="9" t="n"/>
      <c r="H100" s="15">
        <f>IF($A100="","",IFERROR(INDEX('سجل الطلبات'!$J$5:$J$204,MATCH($A100,'سجل الطلبات'!$A$5:$A$204,0))&amp;"",""))</f>
        <v/>
      </c>
      <c r="I100" s="7" t="n"/>
      <c r="J100" s="13" t="n"/>
      <c r="K100" s="16">
        <f>IF($A100="","",IF(AND($I100&lt;&gt;"",$J100&lt;&gt;"",$I100=$H100),"نعم","لا"))</f>
        <v/>
      </c>
      <c r="L100" s="5" t="n"/>
      <c r="M100">
        <f>IF($K100="لا",COUNTIF($K$5:$K100,"لا"),"")</f>
        <v/>
      </c>
    </row>
    <row r="101">
      <c r="A101" s="4" t="n"/>
      <c r="B101" s="5" t="n"/>
      <c r="C101" s="7" t="n"/>
      <c r="D101" s="13" t="n"/>
      <c r="E101" s="5" t="n"/>
      <c r="F101" s="14" t="n"/>
      <c r="G101" s="9" t="n"/>
      <c r="H101" s="15">
        <f>IF($A101="","",IFERROR(INDEX('سجل الطلبات'!$J$5:$J$204,MATCH($A101,'سجل الطلبات'!$A$5:$A$204,0))&amp;"",""))</f>
        <v/>
      </c>
      <c r="I101" s="7" t="n"/>
      <c r="J101" s="13" t="n"/>
      <c r="K101" s="16">
        <f>IF($A101="","",IF(AND($I101&lt;&gt;"",$J101&lt;&gt;"",$I101=$H101),"نعم","لا"))</f>
        <v/>
      </c>
      <c r="L101" s="5" t="n"/>
      <c r="M101">
        <f>IF($K101="لا",COUNTIF($K$5:$K101,"لا"),"")</f>
        <v/>
      </c>
    </row>
    <row r="102">
      <c r="A102" s="4" t="n"/>
      <c r="B102" s="5" t="n"/>
      <c r="C102" s="7" t="n"/>
      <c r="D102" s="13" t="n"/>
      <c r="E102" s="5" t="n"/>
      <c r="F102" s="14" t="n"/>
      <c r="G102" s="9" t="n"/>
      <c r="H102" s="15">
        <f>IF($A102="","",IFERROR(INDEX('سجل الطلبات'!$J$5:$J$204,MATCH($A102,'سجل الطلبات'!$A$5:$A$204,0))&amp;"",""))</f>
        <v/>
      </c>
      <c r="I102" s="7" t="n"/>
      <c r="J102" s="13" t="n"/>
      <c r="K102" s="16">
        <f>IF($A102="","",IF(AND($I102&lt;&gt;"",$J102&lt;&gt;"",$I102=$H102),"نعم","لا"))</f>
        <v/>
      </c>
      <c r="L102" s="5" t="n"/>
      <c r="M102">
        <f>IF($K102="لا",COUNTIF($K$5:$K102,"لا"),"")</f>
        <v/>
      </c>
    </row>
    <row r="103">
      <c r="A103" s="4" t="n"/>
      <c r="B103" s="5" t="n"/>
      <c r="C103" s="7" t="n"/>
      <c r="D103" s="13" t="n"/>
      <c r="E103" s="5" t="n"/>
      <c r="F103" s="14" t="n"/>
      <c r="G103" s="9" t="n"/>
      <c r="H103" s="15">
        <f>IF($A103="","",IFERROR(INDEX('سجل الطلبات'!$J$5:$J$204,MATCH($A103,'سجل الطلبات'!$A$5:$A$204,0))&amp;"",""))</f>
        <v/>
      </c>
      <c r="I103" s="7" t="n"/>
      <c r="J103" s="13" t="n"/>
      <c r="K103" s="16">
        <f>IF($A103="","",IF(AND($I103&lt;&gt;"",$J103&lt;&gt;"",$I103=$H103),"نعم","لا"))</f>
        <v/>
      </c>
      <c r="L103" s="5" t="n"/>
      <c r="M103">
        <f>IF($K103="لا",COUNTIF($K$5:$K103,"لا"),"")</f>
        <v/>
      </c>
    </row>
    <row r="104">
      <c r="A104" s="4" t="n"/>
      <c r="B104" s="5" t="n"/>
      <c r="C104" s="7" t="n"/>
      <c r="D104" s="13" t="n"/>
      <c r="E104" s="5" t="n"/>
      <c r="F104" s="14" t="n"/>
      <c r="G104" s="9" t="n"/>
      <c r="H104" s="15">
        <f>IF($A104="","",IFERROR(INDEX('سجل الطلبات'!$J$5:$J$204,MATCH($A104,'سجل الطلبات'!$A$5:$A$204,0))&amp;"",""))</f>
        <v/>
      </c>
      <c r="I104" s="7" t="n"/>
      <c r="J104" s="13" t="n"/>
      <c r="K104" s="16">
        <f>IF($A104="","",IF(AND($I104&lt;&gt;"",$J104&lt;&gt;"",$I104=$H104),"نعم","لا"))</f>
        <v/>
      </c>
      <c r="L104" s="5" t="n"/>
      <c r="M104">
        <f>IF($K104="لا",COUNTIF($K$5:$K104,"لا"),"")</f>
        <v/>
      </c>
    </row>
    <row r="105">
      <c r="A105" s="4" t="n"/>
      <c r="B105" s="5" t="n"/>
      <c r="C105" s="7" t="n"/>
      <c r="D105" s="13" t="n"/>
      <c r="E105" s="5" t="n"/>
      <c r="F105" s="14" t="n"/>
      <c r="G105" s="9" t="n"/>
      <c r="H105" s="15">
        <f>IF($A105="","",IFERROR(INDEX('سجل الطلبات'!$J$5:$J$204,MATCH($A105,'سجل الطلبات'!$A$5:$A$204,0))&amp;"",""))</f>
        <v/>
      </c>
      <c r="I105" s="7" t="n"/>
      <c r="J105" s="13" t="n"/>
      <c r="K105" s="16">
        <f>IF($A105="","",IF(AND($I105&lt;&gt;"",$J105&lt;&gt;"",$I105=$H105),"نعم","لا"))</f>
        <v/>
      </c>
      <c r="L105" s="5" t="n"/>
      <c r="M105">
        <f>IF($K105="لا",COUNTIF($K$5:$K105,"لا"),"")</f>
        <v/>
      </c>
    </row>
    <row r="106">
      <c r="A106" s="4" t="n"/>
      <c r="B106" s="5" t="n"/>
      <c r="C106" s="7" t="n"/>
      <c r="D106" s="13" t="n"/>
      <c r="E106" s="5" t="n"/>
      <c r="F106" s="14" t="n"/>
      <c r="G106" s="9" t="n"/>
      <c r="H106" s="15">
        <f>IF($A106="","",IFERROR(INDEX('سجل الطلبات'!$J$5:$J$204,MATCH($A106,'سجل الطلبات'!$A$5:$A$204,0))&amp;"",""))</f>
        <v/>
      </c>
      <c r="I106" s="7" t="n"/>
      <c r="J106" s="13" t="n"/>
      <c r="K106" s="16">
        <f>IF($A106="","",IF(AND($I106&lt;&gt;"",$J106&lt;&gt;"",$I106=$H106),"نعم","لا"))</f>
        <v/>
      </c>
      <c r="L106" s="5" t="n"/>
      <c r="M106">
        <f>IF($K106="لا",COUNTIF($K$5:$K106,"لا"),"")</f>
        <v/>
      </c>
    </row>
    <row r="107">
      <c r="A107" s="4" t="n"/>
      <c r="B107" s="5" t="n"/>
      <c r="C107" s="7" t="n"/>
      <c r="D107" s="13" t="n"/>
      <c r="E107" s="5" t="n"/>
      <c r="F107" s="14" t="n"/>
      <c r="G107" s="9" t="n"/>
      <c r="H107" s="15">
        <f>IF($A107="","",IFERROR(INDEX('سجل الطلبات'!$J$5:$J$204,MATCH($A107,'سجل الطلبات'!$A$5:$A$204,0))&amp;"",""))</f>
        <v/>
      </c>
      <c r="I107" s="7" t="n"/>
      <c r="J107" s="13" t="n"/>
      <c r="K107" s="16">
        <f>IF($A107="","",IF(AND($I107&lt;&gt;"",$J107&lt;&gt;"",$I107=$H107),"نعم","لا"))</f>
        <v/>
      </c>
      <c r="L107" s="5" t="n"/>
      <c r="M107">
        <f>IF($K107="لا",COUNTIF($K$5:$K107,"لا"),"")</f>
        <v/>
      </c>
    </row>
    <row r="108">
      <c r="A108" s="4" t="n"/>
      <c r="B108" s="5" t="n"/>
      <c r="C108" s="7" t="n"/>
      <c r="D108" s="13" t="n"/>
      <c r="E108" s="5" t="n"/>
      <c r="F108" s="14" t="n"/>
      <c r="G108" s="9" t="n"/>
      <c r="H108" s="15">
        <f>IF($A108="","",IFERROR(INDEX('سجل الطلبات'!$J$5:$J$204,MATCH($A108,'سجل الطلبات'!$A$5:$A$204,0))&amp;"",""))</f>
        <v/>
      </c>
      <c r="I108" s="7" t="n"/>
      <c r="J108" s="13" t="n"/>
      <c r="K108" s="16">
        <f>IF($A108="","",IF(AND($I108&lt;&gt;"",$J108&lt;&gt;"",$I108=$H108),"نعم","لا"))</f>
        <v/>
      </c>
      <c r="L108" s="5" t="n"/>
      <c r="M108">
        <f>IF($K108="لا",COUNTIF($K$5:$K108,"لا"),"")</f>
        <v/>
      </c>
    </row>
    <row r="109">
      <c r="A109" s="4" t="n"/>
      <c r="B109" s="5" t="n"/>
      <c r="C109" s="7" t="n"/>
      <c r="D109" s="13" t="n"/>
      <c r="E109" s="5" t="n"/>
      <c r="F109" s="14" t="n"/>
      <c r="G109" s="9" t="n"/>
      <c r="H109" s="15">
        <f>IF($A109="","",IFERROR(INDEX('سجل الطلبات'!$J$5:$J$204,MATCH($A109,'سجل الطلبات'!$A$5:$A$204,0))&amp;"",""))</f>
        <v/>
      </c>
      <c r="I109" s="7" t="n"/>
      <c r="J109" s="13" t="n"/>
      <c r="K109" s="16">
        <f>IF($A109="","",IF(AND($I109&lt;&gt;"",$J109&lt;&gt;"",$I109=$H109),"نعم","لا"))</f>
        <v/>
      </c>
      <c r="L109" s="5" t="n"/>
      <c r="M109">
        <f>IF($K109="لا",COUNTIF($K$5:$K109,"لا"),"")</f>
        <v/>
      </c>
    </row>
    <row r="110">
      <c r="A110" s="4" t="n"/>
      <c r="B110" s="5" t="n"/>
      <c r="C110" s="7" t="n"/>
      <c r="D110" s="13" t="n"/>
      <c r="E110" s="5" t="n"/>
      <c r="F110" s="14" t="n"/>
      <c r="G110" s="9" t="n"/>
      <c r="H110" s="15">
        <f>IF($A110="","",IFERROR(INDEX('سجل الطلبات'!$J$5:$J$204,MATCH($A110,'سجل الطلبات'!$A$5:$A$204,0))&amp;"",""))</f>
        <v/>
      </c>
      <c r="I110" s="7" t="n"/>
      <c r="J110" s="13" t="n"/>
      <c r="K110" s="16">
        <f>IF($A110="","",IF(AND($I110&lt;&gt;"",$J110&lt;&gt;"",$I110=$H110),"نعم","لا"))</f>
        <v/>
      </c>
      <c r="L110" s="5" t="n"/>
      <c r="M110">
        <f>IF($K110="لا",COUNTIF($K$5:$K110,"لا"),"")</f>
        <v/>
      </c>
    </row>
    <row r="111">
      <c r="A111" s="4" t="n"/>
      <c r="B111" s="5" t="n"/>
      <c r="C111" s="7" t="n"/>
      <c r="D111" s="13" t="n"/>
      <c r="E111" s="5" t="n"/>
      <c r="F111" s="14" t="n"/>
      <c r="G111" s="9" t="n"/>
      <c r="H111" s="15">
        <f>IF($A111="","",IFERROR(INDEX('سجل الطلبات'!$J$5:$J$204,MATCH($A111,'سجل الطلبات'!$A$5:$A$204,0))&amp;"",""))</f>
        <v/>
      </c>
      <c r="I111" s="7" t="n"/>
      <c r="J111" s="13" t="n"/>
      <c r="K111" s="16">
        <f>IF($A111="","",IF(AND($I111&lt;&gt;"",$J111&lt;&gt;"",$I111=$H111),"نعم","لا"))</f>
        <v/>
      </c>
      <c r="L111" s="5" t="n"/>
      <c r="M111">
        <f>IF($K111="لا",COUNTIF($K$5:$K111,"لا"),"")</f>
        <v/>
      </c>
    </row>
    <row r="112">
      <c r="A112" s="4" t="n"/>
      <c r="B112" s="5" t="n"/>
      <c r="C112" s="7" t="n"/>
      <c r="D112" s="13" t="n"/>
      <c r="E112" s="5" t="n"/>
      <c r="F112" s="14" t="n"/>
      <c r="G112" s="9" t="n"/>
      <c r="H112" s="15">
        <f>IF($A112="","",IFERROR(INDEX('سجل الطلبات'!$J$5:$J$204,MATCH($A112,'سجل الطلبات'!$A$5:$A$204,0))&amp;"",""))</f>
        <v/>
      </c>
      <c r="I112" s="7" t="n"/>
      <c r="J112" s="13" t="n"/>
      <c r="K112" s="16">
        <f>IF($A112="","",IF(AND($I112&lt;&gt;"",$J112&lt;&gt;"",$I112=$H112),"نعم","لا"))</f>
        <v/>
      </c>
      <c r="L112" s="5" t="n"/>
      <c r="M112">
        <f>IF($K112="لا",COUNTIF($K$5:$K112,"لا"),"")</f>
        <v/>
      </c>
    </row>
    <row r="113">
      <c r="A113" s="4" t="n"/>
      <c r="B113" s="5" t="n"/>
      <c r="C113" s="7" t="n"/>
      <c r="D113" s="13" t="n"/>
      <c r="E113" s="5" t="n"/>
      <c r="F113" s="14" t="n"/>
      <c r="G113" s="9" t="n"/>
      <c r="H113" s="15">
        <f>IF($A113="","",IFERROR(INDEX('سجل الطلبات'!$J$5:$J$204,MATCH($A113,'سجل الطلبات'!$A$5:$A$204,0))&amp;"",""))</f>
        <v/>
      </c>
      <c r="I113" s="7" t="n"/>
      <c r="J113" s="13" t="n"/>
      <c r="K113" s="16">
        <f>IF($A113="","",IF(AND($I113&lt;&gt;"",$J113&lt;&gt;"",$I113=$H113),"نعم","لا"))</f>
        <v/>
      </c>
      <c r="L113" s="5" t="n"/>
      <c r="M113">
        <f>IF($K113="لا",COUNTIF($K$5:$K113,"لا"),"")</f>
        <v/>
      </c>
    </row>
    <row r="114">
      <c r="A114" s="4" t="n"/>
      <c r="B114" s="5" t="n"/>
      <c r="C114" s="7" t="n"/>
      <c r="D114" s="13" t="n"/>
      <c r="E114" s="5" t="n"/>
      <c r="F114" s="14" t="n"/>
      <c r="G114" s="9" t="n"/>
      <c r="H114" s="15">
        <f>IF($A114="","",IFERROR(INDEX('سجل الطلبات'!$J$5:$J$204,MATCH($A114,'سجل الطلبات'!$A$5:$A$204,0))&amp;"",""))</f>
        <v/>
      </c>
      <c r="I114" s="7" t="n"/>
      <c r="J114" s="13" t="n"/>
      <c r="K114" s="16">
        <f>IF($A114="","",IF(AND($I114&lt;&gt;"",$J114&lt;&gt;"",$I114=$H114),"نعم","لا"))</f>
        <v/>
      </c>
      <c r="L114" s="5" t="n"/>
      <c r="M114">
        <f>IF($K114="لا",COUNTIF($K$5:$K114,"لا"),"")</f>
        <v/>
      </c>
    </row>
    <row r="115">
      <c r="A115" s="4" t="n"/>
      <c r="B115" s="5" t="n"/>
      <c r="C115" s="7" t="n"/>
      <c r="D115" s="13" t="n"/>
      <c r="E115" s="5" t="n"/>
      <c r="F115" s="14" t="n"/>
      <c r="G115" s="9" t="n"/>
      <c r="H115" s="15">
        <f>IF($A115="","",IFERROR(INDEX('سجل الطلبات'!$J$5:$J$204,MATCH($A115,'سجل الطلبات'!$A$5:$A$204,0))&amp;"",""))</f>
        <v/>
      </c>
      <c r="I115" s="7" t="n"/>
      <c r="J115" s="13" t="n"/>
      <c r="K115" s="16">
        <f>IF($A115="","",IF(AND($I115&lt;&gt;"",$J115&lt;&gt;"",$I115=$H115),"نعم","لا"))</f>
        <v/>
      </c>
      <c r="L115" s="5" t="n"/>
      <c r="M115">
        <f>IF($K115="لا",COUNTIF($K$5:$K115,"لا"),"")</f>
        <v/>
      </c>
    </row>
    <row r="116">
      <c r="A116" s="4" t="n"/>
      <c r="B116" s="5" t="n"/>
      <c r="C116" s="7" t="n"/>
      <c r="D116" s="13" t="n"/>
      <c r="E116" s="5" t="n"/>
      <c r="F116" s="14" t="n"/>
      <c r="G116" s="9" t="n"/>
      <c r="H116" s="15">
        <f>IF($A116="","",IFERROR(INDEX('سجل الطلبات'!$J$5:$J$204,MATCH($A116,'سجل الطلبات'!$A$5:$A$204,0))&amp;"",""))</f>
        <v/>
      </c>
      <c r="I116" s="7" t="n"/>
      <c r="J116" s="13" t="n"/>
      <c r="K116" s="16">
        <f>IF($A116="","",IF(AND($I116&lt;&gt;"",$J116&lt;&gt;"",$I116=$H116),"نعم","لا"))</f>
        <v/>
      </c>
      <c r="L116" s="5" t="n"/>
      <c r="M116">
        <f>IF($K116="لا",COUNTIF($K$5:$K116,"لا"),"")</f>
        <v/>
      </c>
    </row>
    <row r="117">
      <c r="A117" s="4" t="n"/>
      <c r="B117" s="5" t="n"/>
      <c r="C117" s="7" t="n"/>
      <c r="D117" s="13" t="n"/>
      <c r="E117" s="5" t="n"/>
      <c r="F117" s="14" t="n"/>
      <c r="G117" s="9" t="n"/>
      <c r="H117" s="15">
        <f>IF($A117="","",IFERROR(INDEX('سجل الطلبات'!$J$5:$J$204,MATCH($A117,'سجل الطلبات'!$A$5:$A$204,0))&amp;"",""))</f>
        <v/>
      </c>
      <c r="I117" s="7" t="n"/>
      <c r="J117" s="13" t="n"/>
      <c r="K117" s="16">
        <f>IF($A117="","",IF(AND($I117&lt;&gt;"",$J117&lt;&gt;"",$I117=$H117),"نعم","لا"))</f>
        <v/>
      </c>
      <c r="L117" s="5" t="n"/>
      <c r="M117">
        <f>IF($K117="لا",COUNTIF($K$5:$K117,"لا"),"")</f>
        <v/>
      </c>
    </row>
    <row r="118">
      <c r="A118" s="4" t="n"/>
      <c r="B118" s="5" t="n"/>
      <c r="C118" s="7" t="n"/>
      <c r="D118" s="13" t="n"/>
      <c r="E118" s="5" t="n"/>
      <c r="F118" s="14" t="n"/>
      <c r="G118" s="9" t="n"/>
      <c r="H118" s="15">
        <f>IF($A118="","",IFERROR(INDEX('سجل الطلبات'!$J$5:$J$204,MATCH($A118,'سجل الطلبات'!$A$5:$A$204,0))&amp;"",""))</f>
        <v/>
      </c>
      <c r="I118" s="7" t="n"/>
      <c r="J118" s="13" t="n"/>
      <c r="K118" s="16">
        <f>IF($A118="","",IF(AND($I118&lt;&gt;"",$J118&lt;&gt;"",$I118=$H118),"نعم","لا"))</f>
        <v/>
      </c>
      <c r="L118" s="5" t="n"/>
      <c r="M118">
        <f>IF($K118="لا",COUNTIF($K$5:$K118,"لا"),"")</f>
        <v/>
      </c>
    </row>
    <row r="119">
      <c r="A119" s="4" t="n"/>
      <c r="B119" s="5" t="n"/>
      <c r="C119" s="7" t="n"/>
      <c r="D119" s="13" t="n"/>
      <c r="E119" s="5" t="n"/>
      <c r="F119" s="14" t="n"/>
      <c r="G119" s="9" t="n"/>
      <c r="H119" s="15">
        <f>IF($A119="","",IFERROR(INDEX('سجل الطلبات'!$J$5:$J$204,MATCH($A119,'سجل الطلبات'!$A$5:$A$204,0))&amp;"",""))</f>
        <v/>
      </c>
      <c r="I119" s="7" t="n"/>
      <c r="J119" s="13" t="n"/>
      <c r="K119" s="16">
        <f>IF($A119="","",IF(AND($I119&lt;&gt;"",$J119&lt;&gt;"",$I119=$H119),"نعم","لا"))</f>
        <v/>
      </c>
      <c r="L119" s="5" t="n"/>
      <c r="M119">
        <f>IF($K119="لا",COUNTIF($K$5:$K119,"لا"),"")</f>
        <v/>
      </c>
    </row>
    <row r="120">
      <c r="A120" s="4" t="n"/>
      <c r="B120" s="5" t="n"/>
      <c r="C120" s="7" t="n"/>
      <c r="D120" s="13" t="n"/>
      <c r="E120" s="5" t="n"/>
      <c r="F120" s="14" t="n"/>
      <c r="G120" s="9" t="n"/>
      <c r="H120" s="15">
        <f>IF($A120="","",IFERROR(INDEX('سجل الطلبات'!$J$5:$J$204,MATCH($A120,'سجل الطلبات'!$A$5:$A$204,0))&amp;"",""))</f>
        <v/>
      </c>
      <c r="I120" s="7" t="n"/>
      <c r="J120" s="13" t="n"/>
      <c r="K120" s="16">
        <f>IF($A120="","",IF(AND($I120&lt;&gt;"",$J120&lt;&gt;"",$I120=$H120),"نعم","لا"))</f>
        <v/>
      </c>
      <c r="L120" s="5" t="n"/>
      <c r="M120">
        <f>IF($K120="لا",COUNTIF($K$5:$K120,"لا"),"")</f>
        <v/>
      </c>
    </row>
    <row r="121">
      <c r="A121" s="4" t="n"/>
      <c r="B121" s="5" t="n"/>
      <c r="C121" s="7" t="n"/>
      <c r="D121" s="13" t="n"/>
      <c r="E121" s="5" t="n"/>
      <c r="F121" s="14" t="n"/>
      <c r="G121" s="9" t="n"/>
      <c r="H121" s="15">
        <f>IF($A121="","",IFERROR(INDEX('سجل الطلبات'!$J$5:$J$204,MATCH($A121,'سجل الطلبات'!$A$5:$A$204,0))&amp;"",""))</f>
        <v/>
      </c>
      <c r="I121" s="7" t="n"/>
      <c r="J121" s="13" t="n"/>
      <c r="K121" s="16">
        <f>IF($A121="","",IF(AND($I121&lt;&gt;"",$J121&lt;&gt;"",$I121=$H121),"نعم","لا"))</f>
        <v/>
      </c>
      <c r="L121" s="5" t="n"/>
      <c r="M121">
        <f>IF($K121="لا",COUNTIF($K$5:$K121,"لا"),"")</f>
        <v/>
      </c>
    </row>
    <row r="122">
      <c r="A122" s="4" t="n"/>
      <c r="B122" s="5" t="n"/>
      <c r="C122" s="7" t="n"/>
      <c r="D122" s="13" t="n"/>
      <c r="E122" s="5" t="n"/>
      <c r="F122" s="14" t="n"/>
      <c r="G122" s="9" t="n"/>
      <c r="H122" s="15">
        <f>IF($A122="","",IFERROR(INDEX('سجل الطلبات'!$J$5:$J$204,MATCH($A122,'سجل الطلبات'!$A$5:$A$204,0))&amp;"",""))</f>
        <v/>
      </c>
      <c r="I122" s="7" t="n"/>
      <c r="J122" s="13" t="n"/>
      <c r="K122" s="16">
        <f>IF($A122="","",IF(AND($I122&lt;&gt;"",$J122&lt;&gt;"",$I122=$H122),"نعم","لا"))</f>
        <v/>
      </c>
      <c r="L122" s="5" t="n"/>
      <c r="M122">
        <f>IF($K122="لا",COUNTIF($K$5:$K122,"لا"),"")</f>
        <v/>
      </c>
    </row>
    <row r="123">
      <c r="A123" s="4" t="n"/>
      <c r="B123" s="5" t="n"/>
      <c r="C123" s="7" t="n"/>
      <c r="D123" s="13" t="n"/>
      <c r="E123" s="5" t="n"/>
      <c r="F123" s="14" t="n"/>
      <c r="G123" s="9" t="n"/>
      <c r="H123" s="15">
        <f>IF($A123="","",IFERROR(INDEX('سجل الطلبات'!$J$5:$J$204,MATCH($A123,'سجل الطلبات'!$A$5:$A$204,0))&amp;"",""))</f>
        <v/>
      </c>
      <c r="I123" s="7" t="n"/>
      <c r="J123" s="13" t="n"/>
      <c r="K123" s="16">
        <f>IF($A123="","",IF(AND($I123&lt;&gt;"",$J123&lt;&gt;"",$I123=$H123),"نعم","لا"))</f>
        <v/>
      </c>
      <c r="L123" s="5" t="n"/>
      <c r="M123">
        <f>IF($K123="لا",COUNTIF($K$5:$K123,"لا"),"")</f>
        <v/>
      </c>
    </row>
    <row r="124">
      <c r="A124" s="4" t="n"/>
      <c r="B124" s="5" t="n"/>
      <c r="C124" s="7" t="n"/>
      <c r="D124" s="13" t="n"/>
      <c r="E124" s="5" t="n"/>
      <c r="F124" s="14" t="n"/>
      <c r="G124" s="9" t="n"/>
      <c r="H124" s="15">
        <f>IF($A124="","",IFERROR(INDEX('سجل الطلبات'!$J$5:$J$204,MATCH($A124,'سجل الطلبات'!$A$5:$A$204,0))&amp;"",""))</f>
        <v/>
      </c>
      <c r="I124" s="7" t="n"/>
      <c r="J124" s="13" t="n"/>
      <c r="K124" s="16">
        <f>IF($A124="","",IF(AND($I124&lt;&gt;"",$J124&lt;&gt;"",$I124=$H124),"نعم","لا"))</f>
        <v/>
      </c>
      <c r="L124" s="5" t="n"/>
      <c r="M124">
        <f>IF($K124="لا",COUNTIF($K$5:$K124,"لا"),"")</f>
        <v/>
      </c>
    </row>
    <row r="125">
      <c r="A125" s="4" t="n"/>
      <c r="B125" s="5" t="n"/>
      <c r="C125" s="7" t="n"/>
      <c r="D125" s="13" t="n"/>
      <c r="E125" s="5" t="n"/>
      <c r="F125" s="14" t="n"/>
      <c r="G125" s="9" t="n"/>
      <c r="H125" s="15">
        <f>IF($A125="","",IFERROR(INDEX('سجل الطلبات'!$J$5:$J$204,MATCH($A125,'سجل الطلبات'!$A$5:$A$204,0))&amp;"",""))</f>
        <v/>
      </c>
      <c r="I125" s="7" t="n"/>
      <c r="J125" s="13" t="n"/>
      <c r="K125" s="16">
        <f>IF($A125="","",IF(AND($I125&lt;&gt;"",$J125&lt;&gt;"",$I125=$H125),"نعم","لا"))</f>
        <v/>
      </c>
      <c r="L125" s="5" t="n"/>
      <c r="M125">
        <f>IF($K125="لا",COUNTIF($K$5:$K125,"لا"),"")</f>
        <v/>
      </c>
    </row>
    <row r="126">
      <c r="A126" s="4" t="n"/>
      <c r="B126" s="5" t="n"/>
      <c r="C126" s="7" t="n"/>
      <c r="D126" s="13" t="n"/>
      <c r="E126" s="5" t="n"/>
      <c r="F126" s="14" t="n"/>
      <c r="G126" s="9" t="n"/>
      <c r="H126" s="15">
        <f>IF($A126="","",IFERROR(INDEX('سجل الطلبات'!$J$5:$J$204,MATCH($A126,'سجل الطلبات'!$A$5:$A$204,0))&amp;"",""))</f>
        <v/>
      </c>
      <c r="I126" s="7" t="n"/>
      <c r="J126" s="13" t="n"/>
      <c r="K126" s="16">
        <f>IF($A126="","",IF(AND($I126&lt;&gt;"",$J126&lt;&gt;"",$I126=$H126),"نعم","لا"))</f>
        <v/>
      </c>
      <c r="L126" s="5" t="n"/>
      <c r="M126">
        <f>IF($K126="لا",COUNTIF($K$5:$K126,"لا"),"")</f>
        <v/>
      </c>
    </row>
    <row r="127">
      <c r="A127" s="4" t="n"/>
      <c r="B127" s="5" t="n"/>
      <c r="C127" s="7" t="n"/>
      <c r="D127" s="13" t="n"/>
      <c r="E127" s="5" t="n"/>
      <c r="F127" s="14" t="n"/>
      <c r="G127" s="9" t="n"/>
      <c r="H127" s="15">
        <f>IF($A127="","",IFERROR(INDEX('سجل الطلبات'!$J$5:$J$204,MATCH($A127,'سجل الطلبات'!$A$5:$A$204,0))&amp;"",""))</f>
        <v/>
      </c>
      <c r="I127" s="7" t="n"/>
      <c r="J127" s="13" t="n"/>
      <c r="K127" s="16">
        <f>IF($A127="","",IF(AND($I127&lt;&gt;"",$J127&lt;&gt;"",$I127=$H127),"نعم","لا"))</f>
        <v/>
      </c>
      <c r="L127" s="5" t="n"/>
      <c r="M127">
        <f>IF($K127="لا",COUNTIF($K$5:$K127,"لا"),"")</f>
        <v/>
      </c>
    </row>
    <row r="128">
      <c r="A128" s="4" t="n"/>
      <c r="B128" s="5" t="n"/>
      <c r="C128" s="7" t="n"/>
      <c r="D128" s="13" t="n"/>
      <c r="E128" s="5" t="n"/>
      <c r="F128" s="14" t="n"/>
      <c r="G128" s="9" t="n"/>
      <c r="H128" s="15">
        <f>IF($A128="","",IFERROR(INDEX('سجل الطلبات'!$J$5:$J$204,MATCH($A128,'سجل الطلبات'!$A$5:$A$204,0))&amp;"",""))</f>
        <v/>
      </c>
      <c r="I128" s="7" t="n"/>
      <c r="J128" s="13" t="n"/>
      <c r="K128" s="16">
        <f>IF($A128="","",IF(AND($I128&lt;&gt;"",$J128&lt;&gt;"",$I128=$H128),"نعم","لا"))</f>
        <v/>
      </c>
      <c r="L128" s="5" t="n"/>
      <c r="M128">
        <f>IF($K128="لا",COUNTIF($K$5:$K128,"لا"),"")</f>
        <v/>
      </c>
    </row>
    <row r="129">
      <c r="A129" s="4" t="n"/>
      <c r="B129" s="5" t="n"/>
      <c r="C129" s="7" t="n"/>
      <c r="D129" s="13" t="n"/>
      <c r="E129" s="5" t="n"/>
      <c r="F129" s="14" t="n"/>
      <c r="G129" s="9" t="n"/>
      <c r="H129" s="15">
        <f>IF($A129="","",IFERROR(INDEX('سجل الطلبات'!$J$5:$J$204,MATCH($A129,'سجل الطلبات'!$A$5:$A$204,0))&amp;"",""))</f>
        <v/>
      </c>
      <c r="I129" s="7" t="n"/>
      <c r="J129" s="13" t="n"/>
      <c r="K129" s="16">
        <f>IF($A129="","",IF(AND($I129&lt;&gt;"",$J129&lt;&gt;"",$I129=$H129),"نعم","لا"))</f>
        <v/>
      </c>
      <c r="L129" s="5" t="n"/>
      <c r="M129">
        <f>IF($K129="لا",COUNTIF($K$5:$K129,"لا"),"")</f>
        <v/>
      </c>
    </row>
    <row r="130">
      <c r="A130" s="4" t="n"/>
      <c r="B130" s="5" t="n"/>
      <c r="C130" s="7" t="n"/>
      <c r="D130" s="13" t="n"/>
      <c r="E130" s="5" t="n"/>
      <c r="F130" s="14" t="n"/>
      <c r="G130" s="9" t="n"/>
      <c r="H130" s="15">
        <f>IF($A130="","",IFERROR(INDEX('سجل الطلبات'!$J$5:$J$204,MATCH($A130,'سجل الطلبات'!$A$5:$A$204,0))&amp;"",""))</f>
        <v/>
      </c>
      <c r="I130" s="7" t="n"/>
      <c r="J130" s="13" t="n"/>
      <c r="K130" s="16">
        <f>IF($A130="","",IF(AND($I130&lt;&gt;"",$J130&lt;&gt;"",$I130=$H130),"نعم","لا"))</f>
        <v/>
      </c>
      <c r="L130" s="5" t="n"/>
      <c r="M130">
        <f>IF($K130="لا",COUNTIF($K$5:$K130,"لا"),"")</f>
        <v/>
      </c>
    </row>
    <row r="131">
      <c r="A131" s="4" t="n"/>
      <c r="B131" s="5" t="n"/>
      <c r="C131" s="7" t="n"/>
      <c r="D131" s="13" t="n"/>
      <c r="E131" s="5" t="n"/>
      <c r="F131" s="14" t="n"/>
      <c r="G131" s="9" t="n"/>
      <c r="H131" s="15">
        <f>IF($A131="","",IFERROR(INDEX('سجل الطلبات'!$J$5:$J$204,MATCH($A131,'سجل الطلبات'!$A$5:$A$204,0))&amp;"",""))</f>
        <v/>
      </c>
      <c r="I131" s="7" t="n"/>
      <c r="J131" s="13" t="n"/>
      <c r="K131" s="16">
        <f>IF($A131="","",IF(AND($I131&lt;&gt;"",$J131&lt;&gt;"",$I131=$H131),"نعم","لا"))</f>
        <v/>
      </c>
      <c r="L131" s="5" t="n"/>
      <c r="M131">
        <f>IF($K131="لا",COUNTIF($K$5:$K131,"لا"),"")</f>
        <v/>
      </c>
    </row>
    <row r="132">
      <c r="A132" s="4" t="n"/>
      <c r="B132" s="5" t="n"/>
      <c r="C132" s="7" t="n"/>
      <c r="D132" s="13" t="n"/>
      <c r="E132" s="5" t="n"/>
      <c r="F132" s="14" t="n"/>
      <c r="G132" s="9" t="n"/>
      <c r="H132" s="15">
        <f>IF($A132="","",IFERROR(INDEX('سجل الطلبات'!$J$5:$J$204,MATCH($A132,'سجل الطلبات'!$A$5:$A$204,0))&amp;"",""))</f>
        <v/>
      </c>
      <c r="I132" s="7" t="n"/>
      <c r="J132" s="13" t="n"/>
      <c r="K132" s="16">
        <f>IF($A132="","",IF(AND($I132&lt;&gt;"",$J132&lt;&gt;"",$I132=$H132),"نعم","لا"))</f>
        <v/>
      </c>
      <c r="L132" s="5" t="n"/>
      <c r="M132">
        <f>IF($K132="لا",COUNTIF($K$5:$K132,"لا"),"")</f>
        <v/>
      </c>
    </row>
    <row r="133">
      <c r="A133" s="4" t="n"/>
      <c r="B133" s="5" t="n"/>
      <c r="C133" s="7" t="n"/>
      <c r="D133" s="13" t="n"/>
      <c r="E133" s="5" t="n"/>
      <c r="F133" s="14" t="n"/>
      <c r="G133" s="9" t="n"/>
      <c r="H133" s="15">
        <f>IF($A133="","",IFERROR(INDEX('سجل الطلبات'!$J$5:$J$204,MATCH($A133,'سجل الطلبات'!$A$5:$A$204,0))&amp;"",""))</f>
        <v/>
      </c>
      <c r="I133" s="7" t="n"/>
      <c r="J133" s="13" t="n"/>
      <c r="K133" s="16">
        <f>IF($A133="","",IF(AND($I133&lt;&gt;"",$J133&lt;&gt;"",$I133=$H133),"نعم","لا"))</f>
        <v/>
      </c>
      <c r="L133" s="5" t="n"/>
      <c r="M133">
        <f>IF($K133="لا",COUNTIF($K$5:$K133,"لا"),"")</f>
        <v/>
      </c>
    </row>
    <row r="134">
      <c r="A134" s="4" t="n"/>
      <c r="B134" s="5" t="n"/>
      <c r="C134" s="7" t="n"/>
      <c r="D134" s="13" t="n"/>
      <c r="E134" s="5" t="n"/>
      <c r="F134" s="14" t="n"/>
      <c r="G134" s="9" t="n"/>
      <c r="H134" s="15">
        <f>IF($A134="","",IFERROR(INDEX('سجل الطلبات'!$J$5:$J$204,MATCH($A134,'سجل الطلبات'!$A$5:$A$204,0))&amp;"",""))</f>
        <v/>
      </c>
      <c r="I134" s="7" t="n"/>
      <c r="J134" s="13" t="n"/>
      <c r="K134" s="16">
        <f>IF($A134="","",IF(AND($I134&lt;&gt;"",$J134&lt;&gt;"",$I134=$H134),"نعم","لا"))</f>
        <v/>
      </c>
      <c r="L134" s="5" t="n"/>
      <c r="M134">
        <f>IF($K134="لا",COUNTIF($K$5:$K134,"لا"),"")</f>
        <v/>
      </c>
    </row>
    <row r="135">
      <c r="A135" s="4" t="n"/>
      <c r="B135" s="5" t="n"/>
      <c r="C135" s="7" t="n"/>
      <c r="D135" s="13" t="n"/>
      <c r="E135" s="5" t="n"/>
      <c r="F135" s="14" t="n"/>
      <c r="G135" s="9" t="n"/>
      <c r="H135" s="15">
        <f>IF($A135="","",IFERROR(INDEX('سجل الطلبات'!$J$5:$J$204,MATCH($A135,'سجل الطلبات'!$A$5:$A$204,0))&amp;"",""))</f>
        <v/>
      </c>
      <c r="I135" s="7" t="n"/>
      <c r="J135" s="13" t="n"/>
      <c r="K135" s="16">
        <f>IF($A135="","",IF(AND($I135&lt;&gt;"",$J135&lt;&gt;"",$I135=$H135),"نعم","لا"))</f>
        <v/>
      </c>
      <c r="L135" s="5" t="n"/>
      <c r="M135">
        <f>IF($K135="لا",COUNTIF($K$5:$K135,"لا"),"")</f>
        <v/>
      </c>
    </row>
    <row r="136">
      <c r="A136" s="4" t="n"/>
      <c r="B136" s="5" t="n"/>
      <c r="C136" s="7" t="n"/>
      <c r="D136" s="13" t="n"/>
      <c r="E136" s="5" t="n"/>
      <c r="F136" s="14" t="n"/>
      <c r="G136" s="9" t="n"/>
      <c r="H136" s="15">
        <f>IF($A136="","",IFERROR(INDEX('سجل الطلبات'!$J$5:$J$204,MATCH($A136,'سجل الطلبات'!$A$5:$A$204,0))&amp;"",""))</f>
        <v/>
      </c>
      <c r="I136" s="7" t="n"/>
      <c r="J136" s="13" t="n"/>
      <c r="K136" s="16">
        <f>IF($A136="","",IF(AND($I136&lt;&gt;"",$J136&lt;&gt;"",$I136=$H136),"نعم","لا"))</f>
        <v/>
      </c>
      <c r="L136" s="5" t="n"/>
      <c r="M136">
        <f>IF($K136="لا",COUNTIF($K$5:$K136,"لا"),"")</f>
        <v/>
      </c>
    </row>
    <row r="137">
      <c r="A137" s="4" t="n"/>
      <c r="B137" s="5" t="n"/>
      <c r="C137" s="7" t="n"/>
      <c r="D137" s="13" t="n"/>
      <c r="E137" s="5" t="n"/>
      <c r="F137" s="14" t="n"/>
      <c r="G137" s="9" t="n"/>
      <c r="H137" s="15">
        <f>IF($A137="","",IFERROR(INDEX('سجل الطلبات'!$J$5:$J$204,MATCH($A137,'سجل الطلبات'!$A$5:$A$204,0))&amp;"",""))</f>
        <v/>
      </c>
      <c r="I137" s="7" t="n"/>
      <c r="J137" s="13" t="n"/>
      <c r="K137" s="16">
        <f>IF($A137="","",IF(AND($I137&lt;&gt;"",$J137&lt;&gt;"",$I137=$H137),"نعم","لا"))</f>
        <v/>
      </c>
      <c r="L137" s="5" t="n"/>
      <c r="M137">
        <f>IF($K137="لا",COUNTIF($K$5:$K137,"لا"),"")</f>
        <v/>
      </c>
    </row>
    <row r="138">
      <c r="A138" s="4" t="n"/>
      <c r="B138" s="5" t="n"/>
      <c r="C138" s="7" t="n"/>
      <c r="D138" s="13" t="n"/>
      <c r="E138" s="5" t="n"/>
      <c r="F138" s="14" t="n"/>
      <c r="G138" s="9" t="n"/>
      <c r="H138" s="15">
        <f>IF($A138="","",IFERROR(INDEX('سجل الطلبات'!$J$5:$J$204,MATCH($A138,'سجل الطلبات'!$A$5:$A$204,0))&amp;"",""))</f>
        <v/>
      </c>
      <c r="I138" s="7" t="n"/>
      <c r="J138" s="13" t="n"/>
      <c r="K138" s="16">
        <f>IF($A138="","",IF(AND($I138&lt;&gt;"",$J138&lt;&gt;"",$I138=$H138),"نعم","لا"))</f>
        <v/>
      </c>
      <c r="L138" s="5" t="n"/>
      <c r="M138">
        <f>IF($K138="لا",COUNTIF($K$5:$K138,"لا"),"")</f>
        <v/>
      </c>
    </row>
    <row r="139">
      <c r="A139" s="4" t="n"/>
      <c r="B139" s="5" t="n"/>
      <c r="C139" s="7" t="n"/>
      <c r="D139" s="13" t="n"/>
      <c r="E139" s="5" t="n"/>
      <c r="F139" s="14" t="n"/>
      <c r="G139" s="9" t="n"/>
      <c r="H139" s="15">
        <f>IF($A139="","",IFERROR(INDEX('سجل الطلبات'!$J$5:$J$204,MATCH($A139,'سجل الطلبات'!$A$5:$A$204,0))&amp;"",""))</f>
        <v/>
      </c>
      <c r="I139" s="7" t="n"/>
      <c r="J139" s="13" t="n"/>
      <c r="K139" s="16">
        <f>IF($A139="","",IF(AND($I139&lt;&gt;"",$J139&lt;&gt;"",$I139=$H139),"نعم","لا"))</f>
        <v/>
      </c>
      <c r="L139" s="5" t="n"/>
      <c r="M139">
        <f>IF($K139="لا",COUNTIF($K$5:$K139,"لا"),"")</f>
        <v/>
      </c>
    </row>
    <row r="140">
      <c r="A140" s="4" t="n"/>
      <c r="B140" s="5" t="n"/>
      <c r="C140" s="7" t="n"/>
      <c r="D140" s="13" t="n"/>
      <c r="E140" s="5" t="n"/>
      <c r="F140" s="14" t="n"/>
      <c r="G140" s="9" t="n"/>
      <c r="H140" s="15">
        <f>IF($A140="","",IFERROR(INDEX('سجل الطلبات'!$J$5:$J$204,MATCH($A140,'سجل الطلبات'!$A$5:$A$204,0))&amp;"",""))</f>
        <v/>
      </c>
      <c r="I140" s="7" t="n"/>
      <c r="J140" s="13" t="n"/>
      <c r="K140" s="16">
        <f>IF($A140="","",IF(AND($I140&lt;&gt;"",$J140&lt;&gt;"",$I140=$H140),"نعم","لا"))</f>
        <v/>
      </c>
      <c r="L140" s="5" t="n"/>
      <c r="M140">
        <f>IF($K140="لا",COUNTIF($K$5:$K140,"لا"),"")</f>
        <v/>
      </c>
    </row>
    <row r="141">
      <c r="A141" s="4" t="n"/>
      <c r="B141" s="5" t="n"/>
      <c r="C141" s="7" t="n"/>
      <c r="D141" s="13" t="n"/>
      <c r="E141" s="5" t="n"/>
      <c r="F141" s="14" t="n"/>
      <c r="G141" s="9" t="n"/>
      <c r="H141" s="15">
        <f>IF($A141="","",IFERROR(INDEX('سجل الطلبات'!$J$5:$J$204,MATCH($A141,'سجل الطلبات'!$A$5:$A$204,0))&amp;"",""))</f>
        <v/>
      </c>
      <c r="I141" s="7" t="n"/>
      <c r="J141" s="13" t="n"/>
      <c r="K141" s="16">
        <f>IF($A141="","",IF(AND($I141&lt;&gt;"",$J141&lt;&gt;"",$I141=$H141),"نعم","لا"))</f>
        <v/>
      </c>
      <c r="L141" s="5" t="n"/>
      <c r="M141">
        <f>IF($K141="لا",COUNTIF($K$5:$K141,"لا"),"")</f>
        <v/>
      </c>
    </row>
    <row r="142">
      <c r="A142" s="4" t="n"/>
      <c r="B142" s="5" t="n"/>
      <c r="C142" s="7" t="n"/>
      <c r="D142" s="13" t="n"/>
      <c r="E142" s="5" t="n"/>
      <c r="F142" s="14" t="n"/>
      <c r="G142" s="9" t="n"/>
      <c r="H142" s="15">
        <f>IF($A142="","",IFERROR(INDEX('سجل الطلبات'!$J$5:$J$204,MATCH($A142,'سجل الطلبات'!$A$5:$A$204,0))&amp;"",""))</f>
        <v/>
      </c>
      <c r="I142" s="7" t="n"/>
      <c r="J142" s="13" t="n"/>
      <c r="K142" s="16">
        <f>IF($A142="","",IF(AND($I142&lt;&gt;"",$J142&lt;&gt;"",$I142=$H142),"نعم","لا"))</f>
        <v/>
      </c>
      <c r="L142" s="5" t="n"/>
      <c r="M142">
        <f>IF($K142="لا",COUNTIF($K$5:$K142,"لا"),"")</f>
        <v/>
      </c>
    </row>
    <row r="143">
      <c r="A143" s="4" t="n"/>
      <c r="B143" s="5" t="n"/>
      <c r="C143" s="7" t="n"/>
      <c r="D143" s="13" t="n"/>
      <c r="E143" s="5" t="n"/>
      <c r="F143" s="14" t="n"/>
      <c r="G143" s="9" t="n"/>
      <c r="H143" s="15">
        <f>IF($A143="","",IFERROR(INDEX('سجل الطلبات'!$J$5:$J$204,MATCH($A143,'سجل الطلبات'!$A$5:$A$204,0))&amp;"",""))</f>
        <v/>
      </c>
      <c r="I143" s="7" t="n"/>
      <c r="J143" s="13" t="n"/>
      <c r="K143" s="16">
        <f>IF($A143="","",IF(AND($I143&lt;&gt;"",$J143&lt;&gt;"",$I143=$H143),"نعم","لا"))</f>
        <v/>
      </c>
      <c r="L143" s="5" t="n"/>
      <c r="M143">
        <f>IF($K143="لا",COUNTIF($K$5:$K143,"لا"),"")</f>
        <v/>
      </c>
    </row>
    <row r="144">
      <c r="A144" s="4" t="n"/>
      <c r="B144" s="5" t="n"/>
      <c r="C144" s="7" t="n"/>
      <c r="D144" s="13" t="n"/>
      <c r="E144" s="5" t="n"/>
      <c r="F144" s="14" t="n"/>
      <c r="G144" s="9" t="n"/>
      <c r="H144" s="15">
        <f>IF($A144="","",IFERROR(INDEX('سجل الطلبات'!$J$5:$J$204,MATCH($A144,'سجل الطلبات'!$A$5:$A$204,0))&amp;"",""))</f>
        <v/>
      </c>
      <c r="I144" s="7" t="n"/>
      <c r="J144" s="13" t="n"/>
      <c r="K144" s="16">
        <f>IF($A144="","",IF(AND($I144&lt;&gt;"",$J144&lt;&gt;"",$I144=$H144),"نعم","لا"))</f>
        <v/>
      </c>
      <c r="L144" s="5" t="n"/>
      <c r="M144">
        <f>IF($K144="لا",COUNTIF($K$5:$K144,"لا"),"")</f>
        <v/>
      </c>
    </row>
    <row r="145">
      <c r="A145" s="4" t="n"/>
      <c r="B145" s="5" t="n"/>
      <c r="C145" s="7" t="n"/>
      <c r="D145" s="13" t="n"/>
      <c r="E145" s="5" t="n"/>
      <c r="F145" s="14" t="n"/>
      <c r="G145" s="9" t="n"/>
      <c r="H145" s="15">
        <f>IF($A145="","",IFERROR(INDEX('سجل الطلبات'!$J$5:$J$204,MATCH($A145,'سجل الطلبات'!$A$5:$A$204,0))&amp;"",""))</f>
        <v/>
      </c>
      <c r="I145" s="7" t="n"/>
      <c r="J145" s="13" t="n"/>
      <c r="K145" s="16">
        <f>IF($A145="","",IF(AND($I145&lt;&gt;"",$J145&lt;&gt;"",$I145=$H145),"نعم","لا"))</f>
        <v/>
      </c>
      <c r="L145" s="5" t="n"/>
      <c r="M145">
        <f>IF($K145="لا",COUNTIF($K$5:$K145,"لا"),"")</f>
        <v/>
      </c>
    </row>
    <row r="146">
      <c r="A146" s="4" t="n"/>
      <c r="B146" s="5" t="n"/>
      <c r="C146" s="7" t="n"/>
      <c r="D146" s="13" t="n"/>
      <c r="E146" s="5" t="n"/>
      <c r="F146" s="14" t="n"/>
      <c r="G146" s="9" t="n"/>
      <c r="H146" s="15">
        <f>IF($A146="","",IFERROR(INDEX('سجل الطلبات'!$J$5:$J$204,MATCH($A146,'سجل الطلبات'!$A$5:$A$204,0))&amp;"",""))</f>
        <v/>
      </c>
      <c r="I146" s="7" t="n"/>
      <c r="J146" s="13" t="n"/>
      <c r="K146" s="16">
        <f>IF($A146="","",IF(AND($I146&lt;&gt;"",$J146&lt;&gt;"",$I146=$H146),"نعم","لا"))</f>
        <v/>
      </c>
      <c r="L146" s="5" t="n"/>
      <c r="M146">
        <f>IF($K146="لا",COUNTIF($K$5:$K146,"لا"),"")</f>
        <v/>
      </c>
    </row>
    <row r="147">
      <c r="A147" s="4" t="n"/>
      <c r="B147" s="5" t="n"/>
      <c r="C147" s="7" t="n"/>
      <c r="D147" s="13" t="n"/>
      <c r="E147" s="5" t="n"/>
      <c r="F147" s="14" t="n"/>
      <c r="G147" s="9" t="n"/>
      <c r="H147" s="15">
        <f>IF($A147="","",IFERROR(INDEX('سجل الطلبات'!$J$5:$J$204,MATCH($A147,'سجل الطلبات'!$A$5:$A$204,0))&amp;"",""))</f>
        <v/>
      </c>
      <c r="I147" s="7" t="n"/>
      <c r="J147" s="13" t="n"/>
      <c r="K147" s="16">
        <f>IF($A147="","",IF(AND($I147&lt;&gt;"",$J147&lt;&gt;"",$I147=$H147),"نعم","لا"))</f>
        <v/>
      </c>
      <c r="L147" s="5" t="n"/>
      <c r="M147">
        <f>IF($K147="لا",COUNTIF($K$5:$K147,"لا"),"")</f>
        <v/>
      </c>
    </row>
    <row r="148">
      <c r="A148" s="4" t="n"/>
      <c r="B148" s="5" t="n"/>
      <c r="C148" s="7" t="n"/>
      <c r="D148" s="13" t="n"/>
      <c r="E148" s="5" t="n"/>
      <c r="F148" s="14" t="n"/>
      <c r="G148" s="9" t="n"/>
      <c r="H148" s="15">
        <f>IF($A148="","",IFERROR(INDEX('سجل الطلبات'!$J$5:$J$204,MATCH($A148,'سجل الطلبات'!$A$5:$A$204,0))&amp;"",""))</f>
        <v/>
      </c>
      <c r="I148" s="7" t="n"/>
      <c r="J148" s="13" t="n"/>
      <c r="K148" s="16">
        <f>IF($A148="","",IF(AND($I148&lt;&gt;"",$J148&lt;&gt;"",$I148=$H148),"نعم","لا"))</f>
        <v/>
      </c>
      <c r="L148" s="5" t="n"/>
      <c r="M148">
        <f>IF($K148="لا",COUNTIF($K$5:$K148,"لا"),"")</f>
        <v/>
      </c>
    </row>
    <row r="149">
      <c r="A149" s="4" t="n"/>
      <c r="B149" s="5" t="n"/>
      <c r="C149" s="7" t="n"/>
      <c r="D149" s="13" t="n"/>
      <c r="E149" s="5" t="n"/>
      <c r="F149" s="14" t="n"/>
      <c r="G149" s="9" t="n"/>
      <c r="H149" s="15">
        <f>IF($A149="","",IFERROR(INDEX('سجل الطلبات'!$J$5:$J$204,MATCH($A149,'سجل الطلبات'!$A$5:$A$204,0))&amp;"",""))</f>
        <v/>
      </c>
      <c r="I149" s="7" t="n"/>
      <c r="J149" s="13" t="n"/>
      <c r="K149" s="16">
        <f>IF($A149="","",IF(AND($I149&lt;&gt;"",$J149&lt;&gt;"",$I149=$H149),"نعم","لا"))</f>
        <v/>
      </c>
      <c r="L149" s="5" t="n"/>
      <c r="M149">
        <f>IF($K149="لا",COUNTIF($K$5:$K149,"لا"),"")</f>
        <v/>
      </c>
    </row>
    <row r="150">
      <c r="A150" s="4" t="n"/>
      <c r="B150" s="5" t="n"/>
      <c r="C150" s="7" t="n"/>
      <c r="D150" s="13" t="n"/>
      <c r="E150" s="5" t="n"/>
      <c r="F150" s="14" t="n"/>
      <c r="G150" s="9" t="n"/>
      <c r="H150" s="15">
        <f>IF($A150="","",IFERROR(INDEX('سجل الطلبات'!$J$5:$J$204,MATCH($A150,'سجل الطلبات'!$A$5:$A$204,0))&amp;"",""))</f>
        <v/>
      </c>
      <c r="I150" s="7" t="n"/>
      <c r="J150" s="13" t="n"/>
      <c r="K150" s="16">
        <f>IF($A150="","",IF(AND($I150&lt;&gt;"",$J150&lt;&gt;"",$I150=$H150),"نعم","لا"))</f>
        <v/>
      </c>
      <c r="L150" s="5" t="n"/>
      <c r="M150">
        <f>IF($K150="لا",COUNTIF($K$5:$K150,"لا"),"")</f>
        <v/>
      </c>
    </row>
    <row r="151">
      <c r="A151" s="4" t="n"/>
      <c r="B151" s="5" t="n"/>
      <c r="C151" s="7" t="n"/>
      <c r="D151" s="13" t="n"/>
      <c r="E151" s="5" t="n"/>
      <c r="F151" s="14" t="n"/>
      <c r="G151" s="9" t="n"/>
      <c r="H151" s="15">
        <f>IF($A151="","",IFERROR(INDEX('سجل الطلبات'!$J$5:$J$204,MATCH($A151,'سجل الطلبات'!$A$5:$A$204,0))&amp;"",""))</f>
        <v/>
      </c>
      <c r="I151" s="7" t="n"/>
      <c r="J151" s="13" t="n"/>
      <c r="K151" s="16">
        <f>IF($A151="","",IF(AND($I151&lt;&gt;"",$J151&lt;&gt;"",$I151=$H151),"نعم","لا"))</f>
        <v/>
      </c>
      <c r="L151" s="5" t="n"/>
      <c r="M151">
        <f>IF($K151="لا",COUNTIF($K$5:$K151,"لا"),"")</f>
        <v/>
      </c>
    </row>
    <row r="152">
      <c r="A152" s="4" t="n"/>
      <c r="B152" s="5" t="n"/>
      <c r="C152" s="7" t="n"/>
      <c r="D152" s="13" t="n"/>
      <c r="E152" s="5" t="n"/>
      <c r="F152" s="14" t="n"/>
      <c r="G152" s="9" t="n"/>
      <c r="H152" s="15">
        <f>IF($A152="","",IFERROR(INDEX('سجل الطلبات'!$J$5:$J$204,MATCH($A152,'سجل الطلبات'!$A$5:$A$204,0))&amp;"",""))</f>
        <v/>
      </c>
      <c r="I152" s="7" t="n"/>
      <c r="J152" s="13" t="n"/>
      <c r="K152" s="16">
        <f>IF($A152="","",IF(AND($I152&lt;&gt;"",$J152&lt;&gt;"",$I152=$H152),"نعم","لا"))</f>
        <v/>
      </c>
      <c r="L152" s="5" t="n"/>
      <c r="M152">
        <f>IF($K152="لا",COUNTIF($K$5:$K152,"لا"),"")</f>
        <v/>
      </c>
    </row>
    <row r="153">
      <c r="A153" s="4" t="n"/>
      <c r="B153" s="5" t="n"/>
      <c r="C153" s="7" t="n"/>
      <c r="D153" s="13" t="n"/>
      <c r="E153" s="5" t="n"/>
      <c r="F153" s="14" t="n"/>
      <c r="G153" s="9" t="n"/>
      <c r="H153" s="15">
        <f>IF($A153="","",IFERROR(INDEX('سجل الطلبات'!$J$5:$J$204,MATCH($A153,'سجل الطلبات'!$A$5:$A$204,0))&amp;"",""))</f>
        <v/>
      </c>
      <c r="I153" s="7" t="n"/>
      <c r="J153" s="13" t="n"/>
      <c r="K153" s="16">
        <f>IF($A153="","",IF(AND($I153&lt;&gt;"",$J153&lt;&gt;"",$I153=$H153),"نعم","لا"))</f>
        <v/>
      </c>
      <c r="L153" s="5" t="n"/>
      <c r="M153">
        <f>IF($K153="لا",COUNTIF($K$5:$K153,"لا"),"")</f>
        <v/>
      </c>
    </row>
    <row r="154">
      <c r="A154" s="4" t="n"/>
      <c r="B154" s="5" t="n"/>
      <c r="C154" s="7" t="n"/>
      <c r="D154" s="13" t="n"/>
      <c r="E154" s="5" t="n"/>
      <c r="F154" s="14" t="n"/>
      <c r="G154" s="9" t="n"/>
      <c r="H154" s="15">
        <f>IF($A154="","",IFERROR(INDEX('سجل الطلبات'!$J$5:$J$204,MATCH($A154,'سجل الطلبات'!$A$5:$A$204,0))&amp;"",""))</f>
        <v/>
      </c>
      <c r="I154" s="7" t="n"/>
      <c r="J154" s="13" t="n"/>
      <c r="K154" s="16">
        <f>IF($A154="","",IF(AND($I154&lt;&gt;"",$J154&lt;&gt;"",$I154=$H154),"نعم","لا"))</f>
        <v/>
      </c>
      <c r="L154" s="5" t="n"/>
      <c r="M154">
        <f>IF($K154="لا",COUNTIF($K$5:$K154,"لا"),"")</f>
        <v/>
      </c>
    </row>
    <row r="155">
      <c r="A155" s="4" t="n"/>
      <c r="B155" s="5" t="n"/>
      <c r="C155" s="7" t="n"/>
      <c r="D155" s="13" t="n"/>
      <c r="E155" s="5" t="n"/>
      <c r="F155" s="14" t="n"/>
      <c r="G155" s="9" t="n"/>
      <c r="H155" s="15">
        <f>IF($A155="","",IFERROR(INDEX('سجل الطلبات'!$J$5:$J$204,MATCH($A155,'سجل الطلبات'!$A$5:$A$204,0))&amp;"",""))</f>
        <v/>
      </c>
      <c r="I155" s="7" t="n"/>
      <c r="J155" s="13" t="n"/>
      <c r="K155" s="16">
        <f>IF($A155="","",IF(AND($I155&lt;&gt;"",$J155&lt;&gt;"",$I155=$H155),"نعم","لا"))</f>
        <v/>
      </c>
      <c r="L155" s="5" t="n"/>
      <c r="M155">
        <f>IF($K155="لا",COUNTIF($K$5:$K155,"لا"),"")</f>
        <v/>
      </c>
    </row>
    <row r="156">
      <c r="A156" s="4" t="n"/>
      <c r="B156" s="5" t="n"/>
      <c r="C156" s="7" t="n"/>
      <c r="D156" s="13" t="n"/>
      <c r="E156" s="5" t="n"/>
      <c r="F156" s="14" t="n"/>
      <c r="G156" s="9" t="n"/>
      <c r="H156" s="15">
        <f>IF($A156="","",IFERROR(INDEX('سجل الطلبات'!$J$5:$J$204,MATCH($A156,'سجل الطلبات'!$A$5:$A$204,0))&amp;"",""))</f>
        <v/>
      </c>
      <c r="I156" s="7" t="n"/>
      <c r="J156" s="13" t="n"/>
      <c r="K156" s="16">
        <f>IF($A156="","",IF(AND($I156&lt;&gt;"",$J156&lt;&gt;"",$I156=$H156),"نعم","لا"))</f>
        <v/>
      </c>
      <c r="L156" s="5" t="n"/>
      <c r="M156">
        <f>IF($K156="لا",COUNTIF($K$5:$K156,"لا"),"")</f>
        <v/>
      </c>
    </row>
    <row r="157">
      <c r="A157" s="4" t="n"/>
      <c r="B157" s="5" t="n"/>
      <c r="C157" s="7" t="n"/>
      <c r="D157" s="13" t="n"/>
      <c r="E157" s="5" t="n"/>
      <c r="F157" s="14" t="n"/>
      <c r="G157" s="9" t="n"/>
      <c r="H157" s="15">
        <f>IF($A157="","",IFERROR(INDEX('سجل الطلبات'!$J$5:$J$204,MATCH($A157,'سجل الطلبات'!$A$5:$A$204,0))&amp;"",""))</f>
        <v/>
      </c>
      <c r="I157" s="7" t="n"/>
      <c r="J157" s="13" t="n"/>
      <c r="K157" s="16">
        <f>IF($A157="","",IF(AND($I157&lt;&gt;"",$J157&lt;&gt;"",$I157=$H157),"نعم","لا"))</f>
        <v/>
      </c>
      <c r="L157" s="5" t="n"/>
      <c r="M157">
        <f>IF($K157="لا",COUNTIF($K$5:$K157,"لا"),"")</f>
        <v/>
      </c>
    </row>
    <row r="158">
      <c r="A158" s="4" t="n"/>
      <c r="B158" s="5" t="n"/>
      <c r="C158" s="7" t="n"/>
      <c r="D158" s="13" t="n"/>
      <c r="E158" s="5" t="n"/>
      <c r="F158" s="14" t="n"/>
      <c r="G158" s="9" t="n"/>
      <c r="H158" s="15">
        <f>IF($A158="","",IFERROR(INDEX('سجل الطلبات'!$J$5:$J$204,MATCH($A158,'سجل الطلبات'!$A$5:$A$204,0))&amp;"",""))</f>
        <v/>
      </c>
      <c r="I158" s="7" t="n"/>
      <c r="J158" s="13" t="n"/>
      <c r="K158" s="16">
        <f>IF($A158="","",IF(AND($I158&lt;&gt;"",$J158&lt;&gt;"",$I158=$H158),"نعم","لا"))</f>
        <v/>
      </c>
      <c r="L158" s="5" t="n"/>
      <c r="M158">
        <f>IF($K158="لا",COUNTIF($K$5:$K158,"لا"),"")</f>
        <v/>
      </c>
    </row>
    <row r="159">
      <c r="A159" s="4" t="n"/>
      <c r="B159" s="5" t="n"/>
      <c r="C159" s="7" t="n"/>
      <c r="D159" s="13" t="n"/>
      <c r="E159" s="5" t="n"/>
      <c r="F159" s="14" t="n"/>
      <c r="G159" s="9" t="n"/>
      <c r="H159" s="15">
        <f>IF($A159="","",IFERROR(INDEX('سجل الطلبات'!$J$5:$J$204,MATCH($A159,'سجل الطلبات'!$A$5:$A$204,0))&amp;"",""))</f>
        <v/>
      </c>
      <c r="I159" s="7" t="n"/>
      <c r="J159" s="13" t="n"/>
      <c r="K159" s="16">
        <f>IF($A159="","",IF(AND($I159&lt;&gt;"",$J159&lt;&gt;"",$I159=$H159),"نعم","لا"))</f>
        <v/>
      </c>
      <c r="L159" s="5" t="n"/>
      <c r="M159">
        <f>IF($K159="لا",COUNTIF($K$5:$K159,"لا"),"")</f>
        <v/>
      </c>
    </row>
    <row r="160">
      <c r="A160" s="4" t="n"/>
      <c r="B160" s="5" t="n"/>
      <c r="C160" s="7" t="n"/>
      <c r="D160" s="13" t="n"/>
      <c r="E160" s="5" t="n"/>
      <c r="F160" s="14" t="n"/>
      <c r="G160" s="9" t="n"/>
      <c r="H160" s="15">
        <f>IF($A160="","",IFERROR(INDEX('سجل الطلبات'!$J$5:$J$204,MATCH($A160,'سجل الطلبات'!$A$5:$A$204,0))&amp;"",""))</f>
        <v/>
      </c>
      <c r="I160" s="7" t="n"/>
      <c r="J160" s="13" t="n"/>
      <c r="K160" s="16">
        <f>IF($A160="","",IF(AND($I160&lt;&gt;"",$J160&lt;&gt;"",$I160=$H160),"نعم","لا"))</f>
        <v/>
      </c>
      <c r="L160" s="5" t="n"/>
      <c r="M160">
        <f>IF($K160="لا",COUNTIF($K$5:$K160,"لا"),"")</f>
        <v/>
      </c>
    </row>
    <row r="161">
      <c r="A161" s="4" t="n"/>
      <c r="B161" s="5" t="n"/>
      <c r="C161" s="7" t="n"/>
      <c r="D161" s="13" t="n"/>
      <c r="E161" s="5" t="n"/>
      <c r="F161" s="14" t="n"/>
      <c r="G161" s="9" t="n"/>
      <c r="H161" s="15">
        <f>IF($A161="","",IFERROR(INDEX('سجل الطلبات'!$J$5:$J$204,MATCH($A161,'سجل الطلبات'!$A$5:$A$204,0))&amp;"",""))</f>
        <v/>
      </c>
      <c r="I161" s="7" t="n"/>
      <c r="J161" s="13" t="n"/>
      <c r="K161" s="16">
        <f>IF($A161="","",IF(AND($I161&lt;&gt;"",$J161&lt;&gt;"",$I161=$H161),"نعم","لا"))</f>
        <v/>
      </c>
      <c r="L161" s="5" t="n"/>
      <c r="M161">
        <f>IF($K161="لا",COUNTIF($K$5:$K161,"لا"),"")</f>
        <v/>
      </c>
    </row>
    <row r="162">
      <c r="A162" s="4" t="n"/>
      <c r="B162" s="5" t="n"/>
      <c r="C162" s="7" t="n"/>
      <c r="D162" s="13" t="n"/>
      <c r="E162" s="5" t="n"/>
      <c r="F162" s="14" t="n"/>
      <c r="G162" s="9" t="n"/>
      <c r="H162" s="15">
        <f>IF($A162="","",IFERROR(INDEX('سجل الطلبات'!$J$5:$J$204,MATCH($A162,'سجل الطلبات'!$A$5:$A$204,0))&amp;"",""))</f>
        <v/>
      </c>
      <c r="I162" s="7" t="n"/>
      <c r="J162" s="13" t="n"/>
      <c r="K162" s="16">
        <f>IF($A162="","",IF(AND($I162&lt;&gt;"",$J162&lt;&gt;"",$I162=$H162),"نعم","لا"))</f>
        <v/>
      </c>
      <c r="L162" s="5" t="n"/>
      <c r="M162">
        <f>IF($K162="لا",COUNTIF($K$5:$K162,"لا"),"")</f>
        <v/>
      </c>
    </row>
    <row r="163">
      <c r="A163" s="4" t="n"/>
      <c r="B163" s="5" t="n"/>
      <c r="C163" s="7" t="n"/>
      <c r="D163" s="13" t="n"/>
      <c r="E163" s="5" t="n"/>
      <c r="F163" s="14" t="n"/>
      <c r="G163" s="9" t="n"/>
      <c r="H163" s="15">
        <f>IF($A163="","",IFERROR(INDEX('سجل الطلبات'!$J$5:$J$204,MATCH($A163,'سجل الطلبات'!$A$5:$A$204,0))&amp;"",""))</f>
        <v/>
      </c>
      <c r="I163" s="7" t="n"/>
      <c r="J163" s="13" t="n"/>
      <c r="K163" s="16">
        <f>IF($A163="","",IF(AND($I163&lt;&gt;"",$J163&lt;&gt;"",$I163=$H163),"نعم","لا"))</f>
        <v/>
      </c>
      <c r="L163" s="5" t="n"/>
      <c r="M163">
        <f>IF($K163="لا",COUNTIF($K$5:$K163,"لا"),"")</f>
        <v/>
      </c>
    </row>
    <row r="164">
      <c r="A164" s="4" t="n"/>
      <c r="B164" s="5" t="n"/>
      <c r="C164" s="7" t="n"/>
      <c r="D164" s="13" t="n"/>
      <c r="E164" s="5" t="n"/>
      <c r="F164" s="14" t="n"/>
      <c r="G164" s="9" t="n"/>
      <c r="H164" s="15">
        <f>IF($A164="","",IFERROR(INDEX('سجل الطلبات'!$J$5:$J$204,MATCH($A164,'سجل الطلبات'!$A$5:$A$204,0))&amp;"",""))</f>
        <v/>
      </c>
      <c r="I164" s="7" t="n"/>
      <c r="J164" s="13" t="n"/>
      <c r="K164" s="16">
        <f>IF($A164="","",IF(AND($I164&lt;&gt;"",$J164&lt;&gt;"",$I164=$H164),"نعم","لا"))</f>
        <v/>
      </c>
      <c r="L164" s="5" t="n"/>
      <c r="M164">
        <f>IF($K164="لا",COUNTIF($K$5:$K164,"لا"),"")</f>
        <v/>
      </c>
    </row>
    <row r="165">
      <c r="A165" s="4" t="n"/>
      <c r="B165" s="5" t="n"/>
      <c r="C165" s="7" t="n"/>
      <c r="D165" s="13" t="n"/>
      <c r="E165" s="5" t="n"/>
      <c r="F165" s="14" t="n"/>
      <c r="G165" s="9" t="n"/>
      <c r="H165" s="15">
        <f>IF($A165="","",IFERROR(INDEX('سجل الطلبات'!$J$5:$J$204,MATCH($A165,'سجل الطلبات'!$A$5:$A$204,0))&amp;"",""))</f>
        <v/>
      </c>
      <c r="I165" s="7" t="n"/>
      <c r="J165" s="13" t="n"/>
      <c r="K165" s="16">
        <f>IF($A165="","",IF(AND($I165&lt;&gt;"",$J165&lt;&gt;"",$I165=$H165),"نعم","لا"))</f>
        <v/>
      </c>
      <c r="L165" s="5" t="n"/>
      <c r="M165">
        <f>IF($K165="لا",COUNTIF($K$5:$K165,"لا"),"")</f>
        <v/>
      </c>
    </row>
    <row r="166">
      <c r="A166" s="4" t="n"/>
      <c r="B166" s="5" t="n"/>
      <c r="C166" s="7" t="n"/>
      <c r="D166" s="13" t="n"/>
      <c r="E166" s="5" t="n"/>
      <c r="F166" s="14" t="n"/>
      <c r="G166" s="9" t="n"/>
      <c r="H166" s="15">
        <f>IF($A166="","",IFERROR(INDEX('سجل الطلبات'!$J$5:$J$204,MATCH($A166,'سجل الطلبات'!$A$5:$A$204,0))&amp;"",""))</f>
        <v/>
      </c>
      <c r="I166" s="7" t="n"/>
      <c r="J166" s="13" t="n"/>
      <c r="K166" s="16">
        <f>IF($A166="","",IF(AND($I166&lt;&gt;"",$J166&lt;&gt;"",$I166=$H166),"نعم","لا"))</f>
        <v/>
      </c>
      <c r="L166" s="5" t="n"/>
      <c r="M166">
        <f>IF($K166="لا",COUNTIF($K$5:$K166,"لا"),"")</f>
        <v/>
      </c>
    </row>
    <row r="167">
      <c r="A167" s="4" t="n"/>
      <c r="B167" s="5" t="n"/>
      <c r="C167" s="7" t="n"/>
      <c r="D167" s="13" t="n"/>
      <c r="E167" s="5" t="n"/>
      <c r="F167" s="14" t="n"/>
      <c r="G167" s="9" t="n"/>
      <c r="H167" s="15">
        <f>IF($A167="","",IFERROR(INDEX('سجل الطلبات'!$J$5:$J$204,MATCH($A167,'سجل الطلبات'!$A$5:$A$204,0))&amp;"",""))</f>
        <v/>
      </c>
      <c r="I167" s="7" t="n"/>
      <c r="J167" s="13" t="n"/>
      <c r="K167" s="16">
        <f>IF($A167="","",IF(AND($I167&lt;&gt;"",$J167&lt;&gt;"",$I167=$H167),"نعم","لا"))</f>
        <v/>
      </c>
      <c r="L167" s="5" t="n"/>
      <c r="M167">
        <f>IF($K167="لا",COUNTIF($K$5:$K167,"لا"),"")</f>
        <v/>
      </c>
    </row>
    <row r="168">
      <c r="A168" s="4" t="n"/>
      <c r="B168" s="5" t="n"/>
      <c r="C168" s="7" t="n"/>
      <c r="D168" s="13" t="n"/>
      <c r="E168" s="5" t="n"/>
      <c r="F168" s="14" t="n"/>
      <c r="G168" s="9" t="n"/>
      <c r="H168" s="15">
        <f>IF($A168="","",IFERROR(INDEX('سجل الطلبات'!$J$5:$J$204,MATCH($A168,'سجل الطلبات'!$A$5:$A$204,0))&amp;"",""))</f>
        <v/>
      </c>
      <c r="I168" s="7" t="n"/>
      <c r="J168" s="13" t="n"/>
      <c r="K168" s="16">
        <f>IF($A168="","",IF(AND($I168&lt;&gt;"",$J168&lt;&gt;"",$I168=$H168),"نعم","لا"))</f>
        <v/>
      </c>
      <c r="L168" s="5" t="n"/>
      <c r="M168">
        <f>IF($K168="لا",COUNTIF($K$5:$K168,"لا"),"")</f>
        <v/>
      </c>
    </row>
    <row r="169">
      <c r="A169" s="4" t="n"/>
      <c r="B169" s="5" t="n"/>
      <c r="C169" s="7" t="n"/>
      <c r="D169" s="13" t="n"/>
      <c r="E169" s="5" t="n"/>
      <c r="F169" s="14" t="n"/>
      <c r="G169" s="9" t="n"/>
      <c r="H169" s="15">
        <f>IF($A169="","",IFERROR(INDEX('سجل الطلبات'!$J$5:$J$204,MATCH($A169,'سجل الطلبات'!$A$5:$A$204,0))&amp;"",""))</f>
        <v/>
      </c>
      <c r="I169" s="7" t="n"/>
      <c r="J169" s="13" t="n"/>
      <c r="K169" s="16">
        <f>IF($A169="","",IF(AND($I169&lt;&gt;"",$J169&lt;&gt;"",$I169=$H169),"نعم","لا"))</f>
        <v/>
      </c>
      <c r="L169" s="5" t="n"/>
      <c r="M169">
        <f>IF($K169="لا",COUNTIF($K$5:$K169,"لا"),"")</f>
        <v/>
      </c>
    </row>
    <row r="170">
      <c r="A170" s="4" t="n"/>
      <c r="B170" s="5" t="n"/>
      <c r="C170" s="7" t="n"/>
      <c r="D170" s="13" t="n"/>
      <c r="E170" s="5" t="n"/>
      <c r="F170" s="14" t="n"/>
      <c r="G170" s="9" t="n"/>
      <c r="H170" s="15">
        <f>IF($A170="","",IFERROR(INDEX('سجل الطلبات'!$J$5:$J$204,MATCH($A170,'سجل الطلبات'!$A$5:$A$204,0))&amp;"",""))</f>
        <v/>
      </c>
      <c r="I170" s="7" t="n"/>
      <c r="J170" s="13" t="n"/>
      <c r="K170" s="16">
        <f>IF($A170="","",IF(AND($I170&lt;&gt;"",$J170&lt;&gt;"",$I170=$H170),"نعم","لا"))</f>
        <v/>
      </c>
      <c r="L170" s="5" t="n"/>
      <c r="M170">
        <f>IF($K170="لا",COUNTIF($K$5:$K170,"لا"),"")</f>
        <v/>
      </c>
    </row>
    <row r="171">
      <c r="A171" s="4" t="n"/>
      <c r="B171" s="5" t="n"/>
      <c r="C171" s="7" t="n"/>
      <c r="D171" s="13" t="n"/>
      <c r="E171" s="5" t="n"/>
      <c r="F171" s="14" t="n"/>
      <c r="G171" s="9" t="n"/>
      <c r="H171" s="15">
        <f>IF($A171="","",IFERROR(INDEX('سجل الطلبات'!$J$5:$J$204,MATCH($A171,'سجل الطلبات'!$A$5:$A$204,0))&amp;"",""))</f>
        <v/>
      </c>
      <c r="I171" s="7" t="n"/>
      <c r="J171" s="13" t="n"/>
      <c r="K171" s="16">
        <f>IF($A171="","",IF(AND($I171&lt;&gt;"",$J171&lt;&gt;"",$I171=$H171),"نعم","لا"))</f>
        <v/>
      </c>
      <c r="L171" s="5" t="n"/>
      <c r="M171">
        <f>IF($K171="لا",COUNTIF($K$5:$K171,"لا"),"")</f>
        <v/>
      </c>
    </row>
    <row r="172">
      <c r="A172" s="4" t="n"/>
      <c r="B172" s="5" t="n"/>
      <c r="C172" s="7" t="n"/>
      <c r="D172" s="13" t="n"/>
      <c r="E172" s="5" t="n"/>
      <c r="F172" s="14" t="n"/>
      <c r="G172" s="9" t="n"/>
      <c r="H172" s="15">
        <f>IF($A172="","",IFERROR(INDEX('سجل الطلبات'!$J$5:$J$204,MATCH($A172,'سجل الطلبات'!$A$5:$A$204,0))&amp;"",""))</f>
        <v/>
      </c>
      <c r="I172" s="7" t="n"/>
      <c r="J172" s="13" t="n"/>
      <c r="K172" s="16">
        <f>IF($A172="","",IF(AND($I172&lt;&gt;"",$J172&lt;&gt;"",$I172=$H172),"نعم","لا"))</f>
        <v/>
      </c>
      <c r="L172" s="5" t="n"/>
      <c r="M172">
        <f>IF($K172="لا",COUNTIF($K$5:$K172,"لا"),"")</f>
        <v/>
      </c>
    </row>
    <row r="173">
      <c r="A173" s="4" t="n"/>
      <c r="B173" s="5" t="n"/>
      <c r="C173" s="7" t="n"/>
      <c r="D173" s="13" t="n"/>
      <c r="E173" s="5" t="n"/>
      <c r="F173" s="14" t="n"/>
      <c r="G173" s="9" t="n"/>
      <c r="H173" s="15">
        <f>IF($A173="","",IFERROR(INDEX('سجل الطلبات'!$J$5:$J$204,MATCH($A173,'سجل الطلبات'!$A$5:$A$204,0))&amp;"",""))</f>
        <v/>
      </c>
      <c r="I173" s="7" t="n"/>
      <c r="J173" s="13" t="n"/>
      <c r="K173" s="16">
        <f>IF($A173="","",IF(AND($I173&lt;&gt;"",$J173&lt;&gt;"",$I173=$H173),"نعم","لا"))</f>
        <v/>
      </c>
      <c r="L173" s="5" t="n"/>
      <c r="M173">
        <f>IF($K173="لا",COUNTIF($K$5:$K173,"لا"),"")</f>
        <v/>
      </c>
    </row>
    <row r="174">
      <c r="A174" s="4" t="n"/>
      <c r="B174" s="5" t="n"/>
      <c r="C174" s="7" t="n"/>
      <c r="D174" s="13" t="n"/>
      <c r="E174" s="5" t="n"/>
      <c r="F174" s="14" t="n"/>
      <c r="G174" s="9" t="n"/>
      <c r="H174" s="15">
        <f>IF($A174="","",IFERROR(INDEX('سجل الطلبات'!$J$5:$J$204,MATCH($A174,'سجل الطلبات'!$A$5:$A$204,0))&amp;"",""))</f>
        <v/>
      </c>
      <c r="I174" s="7" t="n"/>
      <c r="J174" s="13" t="n"/>
      <c r="K174" s="16">
        <f>IF($A174="","",IF(AND($I174&lt;&gt;"",$J174&lt;&gt;"",$I174=$H174),"نعم","لا"))</f>
        <v/>
      </c>
      <c r="L174" s="5" t="n"/>
      <c r="M174">
        <f>IF($K174="لا",COUNTIF($K$5:$K174,"لا"),"")</f>
        <v/>
      </c>
    </row>
    <row r="175">
      <c r="A175" s="4" t="n"/>
      <c r="B175" s="5" t="n"/>
      <c r="C175" s="7" t="n"/>
      <c r="D175" s="13" t="n"/>
      <c r="E175" s="5" t="n"/>
      <c r="F175" s="14" t="n"/>
      <c r="G175" s="9" t="n"/>
      <c r="H175" s="15">
        <f>IF($A175="","",IFERROR(INDEX('سجل الطلبات'!$J$5:$J$204,MATCH($A175,'سجل الطلبات'!$A$5:$A$204,0))&amp;"",""))</f>
        <v/>
      </c>
      <c r="I175" s="7" t="n"/>
      <c r="J175" s="13" t="n"/>
      <c r="K175" s="16">
        <f>IF($A175="","",IF(AND($I175&lt;&gt;"",$J175&lt;&gt;"",$I175=$H175),"نعم","لا"))</f>
        <v/>
      </c>
      <c r="L175" s="5" t="n"/>
      <c r="M175">
        <f>IF($K175="لا",COUNTIF($K$5:$K175,"لا"),"")</f>
        <v/>
      </c>
    </row>
    <row r="176">
      <c r="A176" s="4" t="n"/>
      <c r="B176" s="5" t="n"/>
      <c r="C176" s="7" t="n"/>
      <c r="D176" s="13" t="n"/>
      <c r="E176" s="5" t="n"/>
      <c r="F176" s="14" t="n"/>
      <c r="G176" s="9" t="n"/>
      <c r="H176" s="15">
        <f>IF($A176="","",IFERROR(INDEX('سجل الطلبات'!$J$5:$J$204,MATCH($A176,'سجل الطلبات'!$A$5:$A$204,0))&amp;"",""))</f>
        <v/>
      </c>
      <c r="I176" s="7" t="n"/>
      <c r="J176" s="13" t="n"/>
      <c r="K176" s="16">
        <f>IF($A176="","",IF(AND($I176&lt;&gt;"",$J176&lt;&gt;"",$I176=$H176),"نعم","لا"))</f>
        <v/>
      </c>
      <c r="L176" s="5" t="n"/>
      <c r="M176">
        <f>IF($K176="لا",COUNTIF($K$5:$K176,"لا"),"")</f>
        <v/>
      </c>
    </row>
    <row r="177">
      <c r="A177" s="4" t="n"/>
      <c r="B177" s="5" t="n"/>
      <c r="C177" s="7" t="n"/>
      <c r="D177" s="13" t="n"/>
      <c r="E177" s="5" t="n"/>
      <c r="F177" s="14" t="n"/>
      <c r="G177" s="9" t="n"/>
      <c r="H177" s="15">
        <f>IF($A177="","",IFERROR(INDEX('سجل الطلبات'!$J$5:$J$204,MATCH($A177,'سجل الطلبات'!$A$5:$A$204,0))&amp;"",""))</f>
        <v/>
      </c>
      <c r="I177" s="7" t="n"/>
      <c r="J177" s="13" t="n"/>
      <c r="K177" s="16">
        <f>IF($A177="","",IF(AND($I177&lt;&gt;"",$J177&lt;&gt;"",$I177=$H177),"نعم","لا"))</f>
        <v/>
      </c>
      <c r="L177" s="5" t="n"/>
      <c r="M177">
        <f>IF($K177="لا",COUNTIF($K$5:$K177,"لا"),"")</f>
        <v/>
      </c>
    </row>
    <row r="178">
      <c r="A178" s="4" t="n"/>
      <c r="B178" s="5" t="n"/>
      <c r="C178" s="7" t="n"/>
      <c r="D178" s="13" t="n"/>
      <c r="E178" s="5" t="n"/>
      <c r="F178" s="14" t="n"/>
      <c r="G178" s="9" t="n"/>
      <c r="H178" s="15">
        <f>IF($A178="","",IFERROR(INDEX('سجل الطلبات'!$J$5:$J$204,MATCH($A178,'سجل الطلبات'!$A$5:$A$204,0))&amp;"",""))</f>
        <v/>
      </c>
      <c r="I178" s="7" t="n"/>
      <c r="J178" s="13" t="n"/>
      <c r="K178" s="16">
        <f>IF($A178="","",IF(AND($I178&lt;&gt;"",$J178&lt;&gt;"",$I178=$H178),"نعم","لا"))</f>
        <v/>
      </c>
      <c r="L178" s="5" t="n"/>
      <c r="M178">
        <f>IF($K178="لا",COUNTIF($K$5:$K178,"لا"),"")</f>
        <v/>
      </c>
    </row>
    <row r="179">
      <c r="A179" s="4" t="n"/>
      <c r="B179" s="5" t="n"/>
      <c r="C179" s="7" t="n"/>
      <c r="D179" s="13" t="n"/>
      <c r="E179" s="5" t="n"/>
      <c r="F179" s="14" t="n"/>
      <c r="G179" s="9" t="n"/>
      <c r="H179" s="15">
        <f>IF($A179="","",IFERROR(INDEX('سجل الطلبات'!$J$5:$J$204,MATCH($A179,'سجل الطلبات'!$A$5:$A$204,0))&amp;"",""))</f>
        <v/>
      </c>
      <c r="I179" s="7" t="n"/>
      <c r="J179" s="13" t="n"/>
      <c r="K179" s="16">
        <f>IF($A179="","",IF(AND($I179&lt;&gt;"",$J179&lt;&gt;"",$I179=$H179),"نعم","لا"))</f>
        <v/>
      </c>
      <c r="L179" s="5" t="n"/>
      <c r="M179">
        <f>IF($K179="لا",COUNTIF($K$5:$K179,"لا"),"")</f>
        <v/>
      </c>
    </row>
    <row r="180">
      <c r="A180" s="4" t="n"/>
      <c r="B180" s="5" t="n"/>
      <c r="C180" s="7" t="n"/>
      <c r="D180" s="13" t="n"/>
      <c r="E180" s="5" t="n"/>
      <c r="F180" s="14" t="n"/>
      <c r="G180" s="9" t="n"/>
      <c r="H180" s="15">
        <f>IF($A180="","",IFERROR(INDEX('سجل الطلبات'!$J$5:$J$204,MATCH($A180,'سجل الطلبات'!$A$5:$A$204,0))&amp;"",""))</f>
        <v/>
      </c>
      <c r="I180" s="7" t="n"/>
      <c r="J180" s="13" t="n"/>
      <c r="K180" s="16">
        <f>IF($A180="","",IF(AND($I180&lt;&gt;"",$J180&lt;&gt;"",$I180=$H180),"نعم","لا"))</f>
        <v/>
      </c>
      <c r="L180" s="5" t="n"/>
      <c r="M180">
        <f>IF($K180="لا",COUNTIF($K$5:$K180,"لا"),"")</f>
        <v/>
      </c>
    </row>
    <row r="181">
      <c r="A181" s="4" t="n"/>
      <c r="B181" s="5" t="n"/>
      <c r="C181" s="7" t="n"/>
      <c r="D181" s="13" t="n"/>
      <c r="E181" s="5" t="n"/>
      <c r="F181" s="14" t="n"/>
      <c r="G181" s="9" t="n"/>
      <c r="H181" s="15">
        <f>IF($A181="","",IFERROR(INDEX('سجل الطلبات'!$J$5:$J$204,MATCH($A181,'سجل الطلبات'!$A$5:$A$204,0))&amp;"",""))</f>
        <v/>
      </c>
      <c r="I181" s="7" t="n"/>
      <c r="J181" s="13" t="n"/>
      <c r="K181" s="16">
        <f>IF($A181="","",IF(AND($I181&lt;&gt;"",$J181&lt;&gt;"",$I181=$H181),"نعم","لا"))</f>
        <v/>
      </c>
      <c r="L181" s="5" t="n"/>
      <c r="M181">
        <f>IF($K181="لا",COUNTIF($K$5:$K181,"لا"),"")</f>
        <v/>
      </c>
    </row>
    <row r="182">
      <c r="A182" s="4" t="n"/>
      <c r="B182" s="5" t="n"/>
      <c r="C182" s="7" t="n"/>
      <c r="D182" s="13" t="n"/>
      <c r="E182" s="5" t="n"/>
      <c r="F182" s="14" t="n"/>
      <c r="G182" s="9" t="n"/>
      <c r="H182" s="15">
        <f>IF($A182="","",IFERROR(INDEX('سجل الطلبات'!$J$5:$J$204,MATCH($A182,'سجل الطلبات'!$A$5:$A$204,0))&amp;"",""))</f>
        <v/>
      </c>
      <c r="I182" s="7" t="n"/>
      <c r="J182" s="13" t="n"/>
      <c r="K182" s="16">
        <f>IF($A182="","",IF(AND($I182&lt;&gt;"",$J182&lt;&gt;"",$I182=$H182),"نعم","لا"))</f>
        <v/>
      </c>
      <c r="L182" s="5" t="n"/>
      <c r="M182">
        <f>IF($K182="لا",COUNTIF($K$5:$K182,"لا"),"")</f>
        <v/>
      </c>
    </row>
    <row r="183">
      <c r="A183" s="4" t="n"/>
      <c r="B183" s="5" t="n"/>
      <c r="C183" s="7" t="n"/>
      <c r="D183" s="13" t="n"/>
      <c r="E183" s="5" t="n"/>
      <c r="F183" s="14" t="n"/>
      <c r="G183" s="9" t="n"/>
      <c r="H183" s="15">
        <f>IF($A183="","",IFERROR(INDEX('سجل الطلبات'!$J$5:$J$204,MATCH($A183,'سجل الطلبات'!$A$5:$A$204,0))&amp;"",""))</f>
        <v/>
      </c>
      <c r="I183" s="7" t="n"/>
      <c r="J183" s="13" t="n"/>
      <c r="K183" s="16">
        <f>IF($A183="","",IF(AND($I183&lt;&gt;"",$J183&lt;&gt;"",$I183=$H183),"نعم","لا"))</f>
        <v/>
      </c>
      <c r="L183" s="5" t="n"/>
      <c r="M183">
        <f>IF($K183="لا",COUNTIF($K$5:$K183,"لا"),"")</f>
        <v/>
      </c>
    </row>
    <row r="184">
      <c r="A184" s="4" t="n"/>
      <c r="B184" s="5" t="n"/>
      <c r="C184" s="7" t="n"/>
      <c r="D184" s="13" t="n"/>
      <c r="E184" s="5" t="n"/>
      <c r="F184" s="14" t="n"/>
      <c r="G184" s="9" t="n"/>
      <c r="H184" s="15">
        <f>IF($A184="","",IFERROR(INDEX('سجل الطلبات'!$J$5:$J$204,MATCH($A184,'سجل الطلبات'!$A$5:$A$204,0))&amp;"",""))</f>
        <v/>
      </c>
      <c r="I184" s="7" t="n"/>
      <c r="J184" s="13" t="n"/>
      <c r="K184" s="16">
        <f>IF($A184="","",IF(AND($I184&lt;&gt;"",$J184&lt;&gt;"",$I184=$H184),"نعم","لا"))</f>
        <v/>
      </c>
      <c r="L184" s="5" t="n"/>
      <c r="M184">
        <f>IF($K184="لا",COUNTIF($K$5:$K184,"لا"),"")</f>
        <v/>
      </c>
    </row>
    <row r="185">
      <c r="A185" s="4" t="n"/>
      <c r="B185" s="5" t="n"/>
      <c r="C185" s="7" t="n"/>
      <c r="D185" s="13" t="n"/>
      <c r="E185" s="5" t="n"/>
      <c r="F185" s="14" t="n"/>
      <c r="G185" s="9" t="n"/>
      <c r="H185" s="15">
        <f>IF($A185="","",IFERROR(INDEX('سجل الطلبات'!$J$5:$J$204,MATCH($A185,'سجل الطلبات'!$A$5:$A$204,0))&amp;"",""))</f>
        <v/>
      </c>
      <c r="I185" s="7" t="n"/>
      <c r="J185" s="13" t="n"/>
      <c r="K185" s="16">
        <f>IF($A185="","",IF(AND($I185&lt;&gt;"",$J185&lt;&gt;"",$I185=$H185),"نعم","لا"))</f>
        <v/>
      </c>
      <c r="L185" s="5" t="n"/>
      <c r="M185">
        <f>IF($K185="لا",COUNTIF($K$5:$K185,"لا"),"")</f>
        <v/>
      </c>
    </row>
    <row r="186">
      <c r="A186" s="4" t="n"/>
      <c r="B186" s="5" t="n"/>
      <c r="C186" s="7" t="n"/>
      <c r="D186" s="13" t="n"/>
      <c r="E186" s="5" t="n"/>
      <c r="F186" s="14" t="n"/>
      <c r="G186" s="9" t="n"/>
      <c r="H186" s="15">
        <f>IF($A186="","",IFERROR(INDEX('سجل الطلبات'!$J$5:$J$204,MATCH($A186,'سجل الطلبات'!$A$5:$A$204,0))&amp;"",""))</f>
        <v/>
      </c>
      <c r="I186" s="7" t="n"/>
      <c r="J186" s="13" t="n"/>
      <c r="K186" s="16">
        <f>IF($A186="","",IF(AND($I186&lt;&gt;"",$J186&lt;&gt;"",$I186=$H186),"نعم","لا"))</f>
        <v/>
      </c>
      <c r="L186" s="5" t="n"/>
      <c r="M186">
        <f>IF($K186="لا",COUNTIF($K$5:$K186,"لا"),"")</f>
        <v/>
      </c>
    </row>
    <row r="187">
      <c r="A187" s="4" t="n"/>
      <c r="B187" s="5" t="n"/>
      <c r="C187" s="7" t="n"/>
      <c r="D187" s="13" t="n"/>
      <c r="E187" s="5" t="n"/>
      <c r="F187" s="14" t="n"/>
      <c r="G187" s="9" t="n"/>
      <c r="H187" s="15">
        <f>IF($A187="","",IFERROR(INDEX('سجل الطلبات'!$J$5:$J$204,MATCH($A187,'سجل الطلبات'!$A$5:$A$204,0))&amp;"",""))</f>
        <v/>
      </c>
      <c r="I187" s="7" t="n"/>
      <c r="J187" s="13" t="n"/>
      <c r="K187" s="16">
        <f>IF($A187="","",IF(AND($I187&lt;&gt;"",$J187&lt;&gt;"",$I187=$H187),"نعم","لا"))</f>
        <v/>
      </c>
      <c r="L187" s="5" t="n"/>
      <c r="M187">
        <f>IF($K187="لا",COUNTIF($K$5:$K187,"لا"),"")</f>
        <v/>
      </c>
    </row>
    <row r="188">
      <c r="A188" s="4" t="n"/>
      <c r="B188" s="5" t="n"/>
      <c r="C188" s="7" t="n"/>
      <c r="D188" s="13" t="n"/>
      <c r="E188" s="5" t="n"/>
      <c r="F188" s="14" t="n"/>
      <c r="G188" s="9" t="n"/>
      <c r="H188" s="15">
        <f>IF($A188="","",IFERROR(INDEX('سجل الطلبات'!$J$5:$J$204,MATCH($A188,'سجل الطلبات'!$A$5:$A$204,0))&amp;"",""))</f>
        <v/>
      </c>
      <c r="I188" s="7" t="n"/>
      <c r="J188" s="13" t="n"/>
      <c r="K188" s="16">
        <f>IF($A188="","",IF(AND($I188&lt;&gt;"",$J188&lt;&gt;"",$I188=$H188),"نعم","لا"))</f>
        <v/>
      </c>
      <c r="L188" s="5" t="n"/>
      <c r="M188">
        <f>IF($K188="لا",COUNTIF($K$5:$K188,"لا"),"")</f>
        <v/>
      </c>
    </row>
    <row r="189">
      <c r="A189" s="4" t="n"/>
      <c r="B189" s="5" t="n"/>
      <c r="C189" s="7" t="n"/>
      <c r="D189" s="13" t="n"/>
      <c r="E189" s="5" t="n"/>
      <c r="F189" s="14" t="n"/>
      <c r="G189" s="9" t="n"/>
      <c r="H189" s="15">
        <f>IF($A189="","",IFERROR(INDEX('سجل الطلبات'!$J$5:$J$204,MATCH($A189,'سجل الطلبات'!$A$5:$A$204,0))&amp;"",""))</f>
        <v/>
      </c>
      <c r="I189" s="7" t="n"/>
      <c r="J189" s="13" t="n"/>
      <c r="K189" s="16">
        <f>IF($A189="","",IF(AND($I189&lt;&gt;"",$J189&lt;&gt;"",$I189=$H189),"نعم","لا"))</f>
        <v/>
      </c>
      <c r="L189" s="5" t="n"/>
      <c r="M189">
        <f>IF($K189="لا",COUNTIF($K$5:$K189,"لا"),"")</f>
        <v/>
      </c>
    </row>
    <row r="190">
      <c r="A190" s="4" t="n"/>
      <c r="B190" s="5" t="n"/>
      <c r="C190" s="7" t="n"/>
      <c r="D190" s="13" t="n"/>
      <c r="E190" s="5" t="n"/>
      <c r="F190" s="14" t="n"/>
      <c r="G190" s="9" t="n"/>
      <c r="H190" s="15">
        <f>IF($A190="","",IFERROR(INDEX('سجل الطلبات'!$J$5:$J$204,MATCH($A190,'سجل الطلبات'!$A$5:$A$204,0))&amp;"",""))</f>
        <v/>
      </c>
      <c r="I190" s="7" t="n"/>
      <c r="J190" s="13" t="n"/>
      <c r="K190" s="16">
        <f>IF($A190="","",IF(AND($I190&lt;&gt;"",$J190&lt;&gt;"",$I190=$H190),"نعم","لا"))</f>
        <v/>
      </c>
      <c r="L190" s="5" t="n"/>
      <c r="M190">
        <f>IF($K190="لا",COUNTIF($K$5:$K190,"لا"),"")</f>
        <v/>
      </c>
    </row>
    <row r="191">
      <c r="A191" s="4" t="n"/>
      <c r="B191" s="5" t="n"/>
      <c r="C191" s="7" t="n"/>
      <c r="D191" s="13" t="n"/>
      <c r="E191" s="5" t="n"/>
      <c r="F191" s="14" t="n"/>
      <c r="G191" s="9" t="n"/>
      <c r="H191" s="15">
        <f>IF($A191="","",IFERROR(INDEX('سجل الطلبات'!$J$5:$J$204,MATCH($A191,'سجل الطلبات'!$A$5:$A$204,0))&amp;"",""))</f>
        <v/>
      </c>
      <c r="I191" s="7" t="n"/>
      <c r="J191" s="13" t="n"/>
      <c r="K191" s="16">
        <f>IF($A191="","",IF(AND($I191&lt;&gt;"",$J191&lt;&gt;"",$I191=$H191),"نعم","لا"))</f>
        <v/>
      </c>
      <c r="L191" s="5" t="n"/>
      <c r="M191">
        <f>IF($K191="لا",COUNTIF($K$5:$K191,"لا"),"")</f>
        <v/>
      </c>
    </row>
    <row r="192">
      <c r="A192" s="4" t="n"/>
      <c r="B192" s="5" t="n"/>
      <c r="C192" s="7" t="n"/>
      <c r="D192" s="13" t="n"/>
      <c r="E192" s="5" t="n"/>
      <c r="F192" s="14" t="n"/>
      <c r="G192" s="9" t="n"/>
      <c r="H192" s="15">
        <f>IF($A192="","",IFERROR(INDEX('سجل الطلبات'!$J$5:$J$204,MATCH($A192,'سجل الطلبات'!$A$5:$A$204,0))&amp;"",""))</f>
        <v/>
      </c>
      <c r="I192" s="7" t="n"/>
      <c r="J192" s="13" t="n"/>
      <c r="K192" s="16">
        <f>IF($A192="","",IF(AND($I192&lt;&gt;"",$J192&lt;&gt;"",$I192=$H192),"نعم","لا"))</f>
        <v/>
      </c>
      <c r="L192" s="5" t="n"/>
      <c r="M192">
        <f>IF($K192="لا",COUNTIF($K$5:$K192,"لا"),"")</f>
        <v/>
      </c>
    </row>
    <row r="193">
      <c r="A193" s="4" t="n"/>
      <c r="B193" s="5" t="n"/>
      <c r="C193" s="7" t="n"/>
      <c r="D193" s="13" t="n"/>
      <c r="E193" s="5" t="n"/>
      <c r="F193" s="14" t="n"/>
      <c r="G193" s="9" t="n"/>
      <c r="H193" s="15">
        <f>IF($A193="","",IFERROR(INDEX('سجل الطلبات'!$J$5:$J$204,MATCH($A193,'سجل الطلبات'!$A$5:$A$204,0))&amp;"",""))</f>
        <v/>
      </c>
      <c r="I193" s="7" t="n"/>
      <c r="J193" s="13" t="n"/>
      <c r="K193" s="16">
        <f>IF($A193="","",IF(AND($I193&lt;&gt;"",$J193&lt;&gt;"",$I193=$H193),"نعم","لا"))</f>
        <v/>
      </c>
      <c r="L193" s="5" t="n"/>
      <c r="M193">
        <f>IF($K193="لا",COUNTIF($K$5:$K193,"لا"),"")</f>
        <v/>
      </c>
    </row>
    <row r="194">
      <c r="A194" s="4" t="n"/>
      <c r="B194" s="5" t="n"/>
      <c r="C194" s="7" t="n"/>
      <c r="D194" s="13" t="n"/>
      <c r="E194" s="5" t="n"/>
      <c r="F194" s="14" t="n"/>
      <c r="G194" s="9" t="n"/>
      <c r="H194" s="15">
        <f>IF($A194="","",IFERROR(INDEX('سجل الطلبات'!$J$5:$J$204,MATCH($A194,'سجل الطلبات'!$A$5:$A$204,0))&amp;"",""))</f>
        <v/>
      </c>
      <c r="I194" s="7" t="n"/>
      <c r="J194" s="13" t="n"/>
      <c r="K194" s="16">
        <f>IF($A194="","",IF(AND($I194&lt;&gt;"",$J194&lt;&gt;"",$I194=$H194),"نعم","لا"))</f>
        <v/>
      </c>
      <c r="L194" s="5" t="n"/>
      <c r="M194">
        <f>IF($K194="لا",COUNTIF($K$5:$K194,"لا"),"")</f>
        <v/>
      </c>
    </row>
    <row r="195">
      <c r="A195" s="4" t="n"/>
      <c r="B195" s="5" t="n"/>
      <c r="C195" s="7" t="n"/>
      <c r="D195" s="13" t="n"/>
      <c r="E195" s="5" t="n"/>
      <c r="F195" s="14" t="n"/>
      <c r="G195" s="9" t="n"/>
      <c r="H195" s="15">
        <f>IF($A195="","",IFERROR(INDEX('سجل الطلبات'!$J$5:$J$204,MATCH($A195,'سجل الطلبات'!$A$5:$A$204,0))&amp;"",""))</f>
        <v/>
      </c>
      <c r="I195" s="7" t="n"/>
      <c r="J195" s="13" t="n"/>
      <c r="K195" s="16">
        <f>IF($A195="","",IF(AND($I195&lt;&gt;"",$J195&lt;&gt;"",$I195=$H195),"نعم","لا"))</f>
        <v/>
      </c>
      <c r="L195" s="5" t="n"/>
      <c r="M195">
        <f>IF($K195="لا",COUNTIF($K$5:$K195,"لا"),"")</f>
        <v/>
      </c>
    </row>
    <row r="196">
      <c r="A196" s="4" t="n"/>
      <c r="B196" s="5" t="n"/>
      <c r="C196" s="7" t="n"/>
      <c r="D196" s="13" t="n"/>
      <c r="E196" s="5" t="n"/>
      <c r="F196" s="14" t="n"/>
      <c r="G196" s="9" t="n"/>
      <c r="H196" s="15">
        <f>IF($A196="","",IFERROR(INDEX('سجل الطلبات'!$J$5:$J$204,MATCH($A196,'سجل الطلبات'!$A$5:$A$204,0))&amp;"",""))</f>
        <v/>
      </c>
      <c r="I196" s="7" t="n"/>
      <c r="J196" s="13" t="n"/>
      <c r="K196" s="16">
        <f>IF($A196="","",IF(AND($I196&lt;&gt;"",$J196&lt;&gt;"",$I196=$H196),"نعم","لا"))</f>
        <v/>
      </c>
      <c r="L196" s="5" t="n"/>
      <c r="M196">
        <f>IF($K196="لا",COUNTIF($K$5:$K196,"لا"),"")</f>
        <v/>
      </c>
    </row>
    <row r="197">
      <c r="A197" s="4" t="n"/>
      <c r="B197" s="5" t="n"/>
      <c r="C197" s="7" t="n"/>
      <c r="D197" s="13" t="n"/>
      <c r="E197" s="5" t="n"/>
      <c r="F197" s="14" t="n"/>
      <c r="G197" s="9" t="n"/>
      <c r="H197" s="15">
        <f>IF($A197="","",IFERROR(INDEX('سجل الطلبات'!$J$5:$J$204,MATCH($A197,'سجل الطلبات'!$A$5:$A$204,0))&amp;"",""))</f>
        <v/>
      </c>
      <c r="I197" s="7" t="n"/>
      <c r="J197" s="13" t="n"/>
      <c r="K197" s="16">
        <f>IF($A197="","",IF(AND($I197&lt;&gt;"",$J197&lt;&gt;"",$I197=$H197),"نعم","لا"))</f>
        <v/>
      </c>
      <c r="L197" s="5" t="n"/>
      <c r="M197">
        <f>IF($K197="لا",COUNTIF($K$5:$K197,"لا"),"")</f>
        <v/>
      </c>
    </row>
    <row r="198">
      <c r="A198" s="4" t="n"/>
      <c r="B198" s="5" t="n"/>
      <c r="C198" s="7" t="n"/>
      <c r="D198" s="13" t="n"/>
      <c r="E198" s="5" t="n"/>
      <c r="F198" s="14" t="n"/>
      <c r="G198" s="9" t="n"/>
      <c r="H198" s="15">
        <f>IF($A198="","",IFERROR(INDEX('سجل الطلبات'!$J$5:$J$204,MATCH($A198,'سجل الطلبات'!$A$5:$A$204,0))&amp;"",""))</f>
        <v/>
      </c>
      <c r="I198" s="7" t="n"/>
      <c r="J198" s="13" t="n"/>
      <c r="K198" s="16">
        <f>IF($A198="","",IF(AND($I198&lt;&gt;"",$J198&lt;&gt;"",$I198=$H198),"نعم","لا"))</f>
        <v/>
      </c>
      <c r="L198" s="5" t="n"/>
      <c r="M198">
        <f>IF($K198="لا",COUNTIF($K$5:$K198,"لا"),"")</f>
        <v/>
      </c>
    </row>
    <row r="199">
      <c r="A199" s="4" t="n"/>
      <c r="B199" s="5" t="n"/>
      <c r="C199" s="7" t="n"/>
      <c r="D199" s="13" t="n"/>
      <c r="E199" s="5" t="n"/>
      <c r="F199" s="14" t="n"/>
      <c r="G199" s="9" t="n"/>
      <c r="H199" s="15">
        <f>IF($A199="","",IFERROR(INDEX('سجل الطلبات'!$J$5:$J$204,MATCH($A199,'سجل الطلبات'!$A$5:$A$204,0))&amp;"",""))</f>
        <v/>
      </c>
      <c r="I199" s="7" t="n"/>
      <c r="J199" s="13" t="n"/>
      <c r="K199" s="16">
        <f>IF($A199="","",IF(AND($I199&lt;&gt;"",$J199&lt;&gt;"",$I199=$H199),"نعم","لا"))</f>
        <v/>
      </c>
      <c r="L199" s="5" t="n"/>
      <c r="M199">
        <f>IF($K199="لا",COUNTIF($K$5:$K199,"لا"),"")</f>
        <v/>
      </c>
    </row>
    <row r="200">
      <c r="A200" s="4" t="n"/>
      <c r="B200" s="5" t="n"/>
      <c r="C200" s="7" t="n"/>
      <c r="D200" s="13" t="n"/>
      <c r="E200" s="5" t="n"/>
      <c r="F200" s="14" t="n"/>
      <c r="G200" s="9" t="n"/>
      <c r="H200" s="15">
        <f>IF($A200="","",IFERROR(INDEX('سجل الطلبات'!$J$5:$J$204,MATCH($A200,'سجل الطلبات'!$A$5:$A$204,0))&amp;"",""))</f>
        <v/>
      </c>
      <c r="I200" s="7" t="n"/>
      <c r="J200" s="13" t="n"/>
      <c r="K200" s="16">
        <f>IF($A200="","",IF(AND($I200&lt;&gt;"",$J200&lt;&gt;"",$I200=$H200),"نعم","لا"))</f>
        <v/>
      </c>
      <c r="L200" s="5" t="n"/>
      <c r="M200">
        <f>IF($K200="لا",COUNTIF($K$5:$K200,"لا"),"")</f>
        <v/>
      </c>
    </row>
    <row r="201">
      <c r="A201" s="4" t="n"/>
      <c r="B201" s="5" t="n"/>
      <c r="C201" s="7" t="n"/>
      <c r="D201" s="13" t="n"/>
      <c r="E201" s="5" t="n"/>
      <c r="F201" s="14" t="n"/>
      <c r="G201" s="9" t="n"/>
      <c r="H201" s="15">
        <f>IF($A201="","",IFERROR(INDEX('سجل الطلبات'!$J$5:$J$204,MATCH($A201,'سجل الطلبات'!$A$5:$A$204,0))&amp;"",""))</f>
        <v/>
      </c>
      <c r="I201" s="7" t="n"/>
      <c r="J201" s="13" t="n"/>
      <c r="K201" s="16">
        <f>IF($A201="","",IF(AND($I201&lt;&gt;"",$J201&lt;&gt;"",$I201=$H201),"نعم","لا"))</f>
        <v/>
      </c>
      <c r="L201" s="5" t="n"/>
      <c r="M201">
        <f>IF($K201="لا",COUNTIF($K$5:$K201,"لا"),"")</f>
        <v/>
      </c>
    </row>
    <row r="202">
      <c r="A202" s="4" t="n"/>
      <c r="B202" s="5" t="n"/>
      <c r="C202" s="7" t="n"/>
      <c r="D202" s="13" t="n"/>
      <c r="E202" s="5" t="n"/>
      <c r="F202" s="14" t="n"/>
      <c r="G202" s="9" t="n"/>
      <c r="H202" s="15">
        <f>IF($A202="","",IFERROR(INDEX('سجل الطلبات'!$J$5:$J$204,MATCH($A202,'سجل الطلبات'!$A$5:$A$204,0))&amp;"",""))</f>
        <v/>
      </c>
      <c r="I202" s="7" t="n"/>
      <c r="J202" s="13" t="n"/>
      <c r="K202" s="16">
        <f>IF($A202="","",IF(AND($I202&lt;&gt;"",$J202&lt;&gt;"",$I202=$H202),"نعم","لا"))</f>
        <v/>
      </c>
      <c r="L202" s="5" t="n"/>
      <c r="M202">
        <f>IF($K202="لا",COUNTIF($K$5:$K202,"لا"),"")</f>
        <v/>
      </c>
    </row>
    <row r="203">
      <c r="A203" s="4" t="n"/>
      <c r="B203" s="5" t="n"/>
      <c r="C203" s="7" t="n"/>
      <c r="D203" s="13" t="n"/>
      <c r="E203" s="5" t="n"/>
      <c r="F203" s="14" t="n"/>
      <c r="G203" s="9" t="n"/>
      <c r="H203" s="15">
        <f>IF($A203="","",IFERROR(INDEX('سجل الطلبات'!$J$5:$J$204,MATCH($A203,'سجل الطلبات'!$A$5:$A$204,0))&amp;"",""))</f>
        <v/>
      </c>
      <c r="I203" s="7" t="n"/>
      <c r="J203" s="13" t="n"/>
      <c r="K203" s="16">
        <f>IF($A203="","",IF(AND($I203&lt;&gt;"",$J203&lt;&gt;"",$I203=$H203),"نعم","لا"))</f>
        <v/>
      </c>
      <c r="L203" s="5" t="n"/>
      <c r="M203">
        <f>IF($K203="لا",COUNTIF($K$5:$K203,"لا"),"")</f>
        <v/>
      </c>
    </row>
    <row r="204">
      <c r="A204" s="4" t="n"/>
      <c r="B204" s="5" t="n"/>
      <c r="C204" s="7" t="n"/>
      <c r="D204" s="13" t="n"/>
      <c r="E204" s="5" t="n"/>
      <c r="F204" s="14" t="n"/>
      <c r="G204" s="9" t="n"/>
      <c r="H204" s="15">
        <f>IF($A204="","",IFERROR(INDEX('سجل الطلبات'!$J$5:$J$204,MATCH($A204,'سجل الطلبات'!$A$5:$A$204,0))&amp;"",""))</f>
        <v/>
      </c>
      <c r="I204" s="7" t="n"/>
      <c r="J204" s="13" t="n"/>
      <c r="K204" s="16">
        <f>IF($A204="","",IF(AND($I204&lt;&gt;"",$J204&lt;&gt;"",$I204=$H204),"نعم","لا"))</f>
        <v/>
      </c>
      <c r="L204" s="5" t="n"/>
      <c r="M204">
        <f>IF($K204="لا",COUNTIF($K$5:$K204,"لا"),"")</f>
        <v/>
      </c>
    </row>
  </sheetData>
  <autoFilter ref="A4:L204"/>
  <conditionalFormatting sqref="K5:K204">
    <cfRule type="expression" priority="1" dxfId="0">
      <formula>K5="نعم"</formula>
    </cfRule>
    <cfRule type="expression" priority="2" dxfId="2">
      <formula>K5="لا"</formula>
    </cfRule>
  </conditionalFormatting>
  <dataValidations count="4">
    <dataValidation sqref="A5:A204" showDropDown="0" showInputMessage="0" showErrorMessage="0" allowBlank="1" type="list">
      <formula1>='سجل الطلبات'!$A$5:$A$204</formula1>
    </dataValidation>
    <dataValidation sqref="C5:C204" showDropDown="0" showInputMessage="0" showErrorMessage="0" allowBlank="1" type="list">
      <formula1>='القوائم'!$K$5:$K$10</formula1>
    </dataValidation>
    <dataValidation sqref="G5:G204" showDropDown="0" showInputMessage="0" showErrorMessage="0" allowBlank="1" type="list">
      <formula1>='القوائم'!$L$5:$L$6</formula1>
    </dataValidation>
    <dataValidation sqref="I5:I204" showDropDown="0" showInputMessage="0" showErrorMessage="0" allowBlank="1" type="list">
      <formula1>='القوائم'!$I$5:$I$8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30" customWidth="1" min="2" max="2"/>
    <col width="14" customWidth="1" min="3" max="3"/>
    <col width="18" customWidth="1" min="4" max="4"/>
    <col width="16" customWidth="1" min="5" max="5"/>
    <col width="20" customWidth="1" min="6" max="6"/>
  </cols>
  <sheetData>
    <row r="1">
      <c r="A1" s="1" t="inlineStr">
        <is>
          <t>الملخص</t>
        </is>
      </c>
    </row>
    <row r="2">
      <c r="A2" s="2" t="inlineStr">
        <is>
          <t>أعداد وترتيبات من ورقتي «سجل الطلبات» و«مقدّمو الطلبات». تتحدّث عند إضافة صفوف.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5" t="inlineStr">
        <is>
          <t>الطلبات المسجّلة</t>
        </is>
      </c>
      <c r="B5" s="17">
        <f>COUNTA('سجل الطلبات'!$A$5:$A$204)</f>
        <v/>
      </c>
    </row>
    <row r="6">
      <c r="A6" s="5" t="inlineStr">
        <is>
          <t>مقدّمو الطلب المسجّلون</t>
        </is>
      </c>
      <c r="B6" s="17">
        <f>COUNTA('مقدّمو الطلبات'!$A$5:$A$204)</f>
        <v/>
      </c>
    </row>
    <row r="7">
      <c r="A7" s="5" t="inlineStr">
        <is>
          <t>مغلقة</t>
        </is>
      </c>
      <c r="B7" s="17">
        <f>COUNTIF('سجل الطلبات'!$P$5:$P$204,"مغلق")</f>
        <v/>
      </c>
    </row>
    <row r="8">
      <c r="A8" s="5" t="inlineStr">
        <is>
          <t>مفتوحة</t>
        </is>
      </c>
      <c r="B8" s="17">
        <f>COUNTIF('سجل الطلبات'!$P$5:$P$204,"مفتوح")</f>
        <v/>
      </c>
    </row>
    <row r="9">
      <c r="A9" s="5" t="inlineStr">
        <is>
          <t>ردود مستحقة</t>
        </is>
      </c>
      <c r="B9" s="17">
        <f>COUNTIF('سجل الطلبات'!$P$5:$P$204,"ردود مستحقة")</f>
        <v/>
      </c>
    </row>
    <row r="10">
      <c r="A10" s="5" t="inlineStr">
        <is>
          <t>بلا قرار</t>
        </is>
      </c>
      <c r="B10" s="17">
        <f>COUNTIF('سجل الطلبات'!$P$5:$P$204,"بلا قرار")</f>
        <v/>
      </c>
    </row>
    <row r="11">
      <c r="A11" s="5" t="inlineStr">
        <is>
          <t>مقدّمو الطلب المنتظرون لإجابة</t>
        </is>
      </c>
      <c r="B11" s="17">
        <f>COUNTIF('مقدّمو الطلبات'!$K$5:$K$204,"لا")</f>
        <v/>
      </c>
    </row>
    <row r="12">
      <c r="A12" s="5" t="inlineStr">
        <is>
          <t>الإيراد المعرّض للخطر في الطلبات غير المغلقة</t>
        </is>
      </c>
      <c r="B12" s="18">
        <f>SUMIFS('سجل الطلبات'!$F$5:$F$204,'سجل الطلبات'!$A$5:$A$204,"&lt;&gt;",'سجل الطلبات'!$P$5:$P$204,"&lt;&gt;مغلق")</f>
        <v/>
      </c>
    </row>
    <row r="14">
      <c r="A14" s="19" t="inlineStr">
        <is>
          <t>الطلبات حسب القرار</t>
        </is>
      </c>
    </row>
    <row r="15" ht="24" customHeight="1">
      <c r="A15" s="3" t="inlineStr">
        <is>
          <t>القرار</t>
        </is>
      </c>
      <c r="B15" s="3" t="inlineStr">
        <is>
          <t>الطلبات</t>
        </is>
      </c>
      <c r="C15" s="3" t="inlineStr">
        <is>
          <t>مقدّمو الطلب</t>
        </is>
      </c>
      <c r="D15" s="3" t="inlineStr">
        <is>
          <t>الإيراد المعرّض للخطر</t>
        </is>
      </c>
    </row>
    <row r="16">
      <c r="A16" s="5" t="inlineStr">
        <is>
          <t>قيد الدراسة</t>
        </is>
      </c>
      <c r="B16" s="20">
        <f>COUNTIF('سجل الطلبات'!$J$5:$J$204,A16)</f>
        <v/>
      </c>
      <c r="C16" s="20">
        <f>SUMIF('سجل الطلبات'!$J$5:$J$204,A16,'سجل الطلبات'!$C$5:$C$204)</f>
        <v/>
      </c>
      <c r="D16" s="21">
        <f>SUMIF('سجل الطلبات'!$J$5:$J$204,A16,'سجل الطلبات'!$F$5:$F$204)</f>
        <v/>
      </c>
    </row>
    <row r="17">
      <c r="A17" s="5" t="inlineStr">
        <is>
          <t>مخطط لها</t>
        </is>
      </c>
      <c r="B17" s="20">
        <f>COUNTIF('سجل الطلبات'!$J$5:$J$204,A17)</f>
        <v/>
      </c>
      <c r="C17" s="20">
        <f>SUMIF('سجل الطلبات'!$J$5:$J$204,A17,'سجل الطلبات'!$C$5:$C$204)</f>
        <v/>
      </c>
      <c r="D17" s="21">
        <f>SUMIF('سجل الطلبات'!$J$5:$J$204,A17,'سجل الطلبات'!$F$5:$F$204)</f>
        <v/>
      </c>
    </row>
    <row r="18">
      <c r="A18" s="5" t="inlineStr">
        <is>
          <t>غير مخطط لها</t>
        </is>
      </c>
      <c r="B18" s="20">
        <f>COUNTIF('سجل الطلبات'!$J$5:$J$204,A18)</f>
        <v/>
      </c>
      <c r="C18" s="20">
        <f>SUMIF('سجل الطلبات'!$J$5:$J$204,A18,'سجل الطلبات'!$C$5:$C$204)</f>
        <v/>
      </c>
      <c r="D18" s="21">
        <f>SUMIF('سجل الطلبات'!$J$5:$J$204,A18,'سجل الطلبات'!$F$5:$F$204)</f>
        <v/>
      </c>
    </row>
    <row r="19">
      <c r="A19" s="5" t="inlineStr">
        <is>
          <t>أُطلقت</t>
        </is>
      </c>
      <c r="B19" s="20">
        <f>COUNTIF('سجل الطلبات'!$J$5:$J$204,A19)</f>
        <v/>
      </c>
      <c r="C19" s="20">
        <f>SUMIF('سجل الطلبات'!$J$5:$J$204,A19,'سجل الطلبات'!$C$5:$C$204)</f>
        <v/>
      </c>
      <c r="D19" s="21">
        <f>SUMIF('سجل الطلبات'!$J$5:$J$204,A19,'سجل الطلبات'!$F$5:$F$204)</f>
        <v/>
      </c>
    </row>
    <row r="21">
      <c r="A21" s="19" t="inlineStr">
        <is>
          <t>أعلى 5 درجات</t>
        </is>
      </c>
    </row>
    <row r="22" ht="24" customHeight="1">
      <c r="A22" s="3" t="inlineStr">
        <is>
          <t>الترتيب</t>
        </is>
      </c>
      <c r="B22" s="3" t="inlineStr">
        <is>
          <t>الطلب</t>
        </is>
      </c>
      <c r="C22" s="3" t="inlineStr">
        <is>
          <t>الدرجة</t>
        </is>
      </c>
      <c r="D22" s="3" t="inlineStr">
        <is>
          <t>مقدّمو الطلب</t>
        </is>
      </c>
      <c r="E22" s="3" t="inlineStr">
        <is>
          <t>القرار</t>
        </is>
      </c>
      <c r="F22" s="3" t="inlineStr">
        <is>
          <t>حالة إغلاق الحلقة</t>
        </is>
      </c>
    </row>
    <row r="23">
      <c r="A23" s="22" t="n">
        <v>1</v>
      </c>
      <c r="B23" s="4">
        <f>IFERROR(INDEX('سجل الطلبات'!$A$5:$A$204,MATCH(LARGE('سجل الطلبات'!$R$5:$R$204,$A23),'سجل الطلبات'!$R$5:$R$204,0))&amp;"","")</f>
        <v/>
      </c>
      <c r="C23" s="22">
        <f>IFERROR(INDEX('سجل الطلبات'!$I$5:$I$204,MATCH(LARGE('سجل الطلبات'!$R$5:$R$204,$A23),'سجل الطلبات'!$R$5:$R$204,0)),"")</f>
        <v/>
      </c>
      <c r="D23" s="22">
        <f>IFERROR(INDEX('سجل الطلبات'!$C$5:$C$204,MATCH(LARGE('سجل الطلبات'!$R$5:$R$204,$A23),'سجل الطلبات'!$R$5:$R$204,0)),"")</f>
        <v/>
      </c>
      <c r="E23" s="5">
        <f>IFERROR(INDEX('سجل الطلبات'!$J$5:$J$204,MATCH(LARGE('سجل الطلبات'!$R$5:$R$204,$A23),'سجل الطلبات'!$R$5:$R$204,0))&amp;"","")</f>
        <v/>
      </c>
      <c r="F23" s="5">
        <f>IFERROR(INDEX('سجل الطلبات'!$P$5:$P$204,MATCH(LARGE('سجل الطلبات'!$R$5:$R$204,$A23),'سجل الطلبات'!$R$5:$R$204,0))&amp;"","")</f>
        <v/>
      </c>
    </row>
    <row r="24">
      <c r="A24" s="22" t="n">
        <v>2</v>
      </c>
      <c r="B24" s="4">
        <f>IFERROR(INDEX('سجل الطلبات'!$A$5:$A$204,MATCH(LARGE('سجل الطلبات'!$R$5:$R$204,$A24),'سجل الطلبات'!$R$5:$R$204,0))&amp;"","")</f>
        <v/>
      </c>
      <c r="C24" s="22">
        <f>IFERROR(INDEX('سجل الطلبات'!$I$5:$I$204,MATCH(LARGE('سجل الطلبات'!$R$5:$R$204,$A24),'سجل الطلبات'!$R$5:$R$204,0)),"")</f>
        <v/>
      </c>
      <c r="D24" s="22">
        <f>IFERROR(INDEX('سجل الطلبات'!$C$5:$C$204,MATCH(LARGE('سجل الطلبات'!$R$5:$R$204,$A24),'سجل الطلبات'!$R$5:$R$204,0)),"")</f>
        <v/>
      </c>
      <c r="E24" s="5">
        <f>IFERROR(INDEX('سجل الطلبات'!$J$5:$J$204,MATCH(LARGE('سجل الطلبات'!$R$5:$R$204,$A24),'سجل الطلبات'!$R$5:$R$204,0))&amp;"","")</f>
        <v/>
      </c>
      <c r="F24" s="5">
        <f>IFERROR(INDEX('سجل الطلبات'!$P$5:$P$204,MATCH(LARGE('سجل الطلبات'!$R$5:$R$204,$A24),'سجل الطلبات'!$R$5:$R$204,0))&amp;"","")</f>
        <v/>
      </c>
    </row>
    <row r="25">
      <c r="A25" s="22" t="n">
        <v>3</v>
      </c>
      <c r="B25" s="4">
        <f>IFERROR(INDEX('سجل الطلبات'!$A$5:$A$204,MATCH(LARGE('سجل الطلبات'!$R$5:$R$204,$A25),'سجل الطلبات'!$R$5:$R$204,0))&amp;"","")</f>
        <v/>
      </c>
      <c r="C25" s="22">
        <f>IFERROR(INDEX('سجل الطلبات'!$I$5:$I$204,MATCH(LARGE('سجل الطلبات'!$R$5:$R$204,$A25),'سجل الطلبات'!$R$5:$R$204,0)),"")</f>
        <v/>
      </c>
      <c r="D25" s="22">
        <f>IFERROR(INDEX('سجل الطلبات'!$C$5:$C$204,MATCH(LARGE('سجل الطلبات'!$R$5:$R$204,$A25),'سجل الطلبات'!$R$5:$R$204,0)),"")</f>
        <v/>
      </c>
      <c r="E25" s="5">
        <f>IFERROR(INDEX('سجل الطلبات'!$J$5:$J$204,MATCH(LARGE('سجل الطلبات'!$R$5:$R$204,$A25),'سجل الطلبات'!$R$5:$R$204,0))&amp;"","")</f>
        <v/>
      </c>
      <c r="F25" s="5">
        <f>IFERROR(INDEX('سجل الطلبات'!$P$5:$P$204,MATCH(LARGE('سجل الطلبات'!$R$5:$R$204,$A25),'سجل الطلبات'!$R$5:$R$204,0))&amp;"","")</f>
        <v/>
      </c>
    </row>
    <row r="26">
      <c r="A26" s="22" t="n">
        <v>4</v>
      </c>
      <c r="B26" s="4">
        <f>IFERROR(INDEX('سجل الطلبات'!$A$5:$A$204,MATCH(LARGE('سجل الطلبات'!$R$5:$R$204,$A26),'سجل الطلبات'!$R$5:$R$204,0))&amp;"","")</f>
        <v/>
      </c>
      <c r="C26" s="22">
        <f>IFERROR(INDEX('سجل الطلبات'!$I$5:$I$204,MATCH(LARGE('سجل الطلبات'!$R$5:$R$204,$A26),'سجل الطلبات'!$R$5:$R$204,0)),"")</f>
        <v/>
      </c>
      <c r="D26" s="22">
        <f>IFERROR(INDEX('سجل الطلبات'!$C$5:$C$204,MATCH(LARGE('سجل الطلبات'!$R$5:$R$204,$A26),'سجل الطلبات'!$R$5:$R$204,0)),"")</f>
        <v/>
      </c>
      <c r="E26" s="5">
        <f>IFERROR(INDEX('سجل الطلبات'!$J$5:$J$204,MATCH(LARGE('سجل الطلبات'!$R$5:$R$204,$A26),'سجل الطلبات'!$R$5:$R$204,0))&amp;"","")</f>
        <v/>
      </c>
      <c r="F26" s="5">
        <f>IFERROR(INDEX('سجل الطلبات'!$P$5:$P$204,MATCH(LARGE('سجل الطلبات'!$R$5:$R$204,$A26),'سجل الطلبات'!$R$5:$R$204,0))&amp;"","")</f>
        <v/>
      </c>
    </row>
    <row r="27">
      <c r="A27" s="22" t="n">
        <v>5</v>
      </c>
      <c r="B27" s="4">
        <f>IFERROR(INDEX('سجل الطلبات'!$A$5:$A$204,MATCH(LARGE('سجل الطلبات'!$R$5:$R$204,$A27),'سجل الطلبات'!$R$5:$R$204,0))&amp;"","")</f>
        <v/>
      </c>
      <c r="C27" s="22">
        <f>IFERROR(INDEX('سجل الطلبات'!$I$5:$I$204,MATCH(LARGE('سجل الطلبات'!$R$5:$R$204,$A27),'سجل الطلبات'!$R$5:$R$204,0)),"")</f>
        <v/>
      </c>
      <c r="D27" s="22">
        <f>IFERROR(INDEX('سجل الطلبات'!$C$5:$C$204,MATCH(LARGE('سجل الطلبات'!$R$5:$R$204,$A27),'سجل الطلبات'!$R$5:$R$204,0)),"")</f>
        <v/>
      </c>
      <c r="E27" s="5">
        <f>IFERROR(INDEX('سجل الطلبات'!$J$5:$J$204,MATCH(LARGE('سجل الطلبات'!$R$5:$R$204,$A27),'سجل الطلبات'!$R$5:$R$204,0))&amp;"","")</f>
        <v/>
      </c>
      <c r="F27" s="5">
        <f>IFERROR(INDEX('سجل الطلبات'!$P$5:$P$204,MATCH(LARGE('سجل الطلبات'!$R$5:$R$204,$A27),'سجل الطلبات'!$R$5:$R$204,0))&amp;"","")</f>
        <v/>
      </c>
    </row>
    <row r="29">
      <c r="A29" s="19" t="inlineStr">
        <is>
          <t>مقدّمو الطلب الذين ما زالوا ينتظرون إجابة (أول 10)</t>
        </is>
      </c>
    </row>
    <row r="30" ht="24" customHeight="1">
      <c r="A30" s="3" t="inlineStr">
        <is>
          <t>الطلب</t>
        </is>
      </c>
      <c r="B30" s="3" t="inlineStr">
        <is>
          <t>العميل</t>
        </is>
      </c>
      <c r="C30" s="3" t="inlineStr">
        <is>
          <t>آخر إجابة مرسلة</t>
        </is>
      </c>
      <c r="D30" s="3" t="inlineStr">
        <is>
          <t>القرار الحالي</t>
        </is>
      </c>
    </row>
    <row r="31">
      <c r="A31" s="5">
        <f>IFERROR(INDEX('مقدّمو الطلبات'!$A$5:$A$204,MATCH(1,'مقدّمو الطلبات'!$M$5:$M$204,0))&amp;"","")</f>
        <v/>
      </c>
      <c r="B31" s="4">
        <f>IFERROR(INDEX('مقدّمو الطلبات'!$B$5:$B$204,MATCH(1,'مقدّمو الطلبات'!$M$5:$M$204,0))&amp;"","")</f>
        <v/>
      </c>
      <c r="C31" s="5">
        <f>IFERROR(INDEX('مقدّمو الطلبات'!$I$5:$I$204,MATCH(1,'مقدّمو الطلبات'!$M$5:$M$204,0))&amp;"","")</f>
        <v/>
      </c>
      <c r="D31" s="5">
        <f>IFERROR(INDEX('مقدّمو الطلبات'!$H$5:$H$204,MATCH(1,'مقدّمو الطلبات'!$M$5:$M$204,0))&amp;"","")</f>
        <v/>
      </c>
    </row>
    <row r="32">
      <c r="A32" s="5">
        <f>IFERROR(INDEX('مقدّمو الطلبات'!$A$5:$A$204,MATCH(2,'مقدّمو الطلبات'!$M$5:$M$204,0))&amp;"","")</f>
        <v/>
      </c>
      <c r="B32" s="4">
        <f>IFERROR(INDEX('مقدّمو الطلبات'!$B$5:$B$204,MATCH(2,'مقدّمو الطلبات'!$M$5:$M$204,0))&amp;"","")</f>
        <v/>
      </c>
      <c r="C32" s="5">
        <f>IFERROR(INDEX('مقدّمو الطلبات'!$I$5:$I$204,MATCH(2,'مقدّمو الطلبات'!$M$5:$M$204,0))&amp;"","")</f>
        <v/>
      </c>
      <c r="D32" s="5">
        <f>IFERROR(INDEX('مقدّمو الطلبات'!$H$5:$H$204,MATCH(2,'مقدّمو الطلبات'!$M$5:$M$204,0))&amp;"","")</f>
        <v/>
      </c>
    </row>
    <row r="33">
      <c r="A33" s="5">
        <f>IFERROR(INDEX('مقدّمو الطلبات'!$A$5:$A$204,MATCH(3,'مقدّمو الطلبات'!$M$5:$M$204,0))&amp;"","")</f>
        <v/>
      </c>
      <c r="B33" s="4">
        <f>IFERROR(INDEX('مقدّمو الطلبات'!$B$5:$B$204,MATCH(3,'مقدّمو الطلبات'!$M$5:$M$204,0))&amp;"","")</f>
        <v/>
      </c>
      <c r="C33" s="5">
        <f>IFERROR(INDEX('مقدّمو الطلبات'!$I$5:$I$204,MATCH(3,'مقدّمو الطلبات'!$M$5:$M$204,0))&amp;"","")</f>
        <v/>
      </c>
      <c r="D33" s="5">
        <f>IFERROR(INDEX('مقدّمو الطلبات'!$H$5:$H$204,MATCH(3,'مقدّمو الطلبات'!$M$5:$M$204,0))&amp;"","")</f>
        <v/>
      </c>
    </row>
    <row r="34">
      <c r="A34" s="5">
        <f>IFERROR(INDEX('مقدّمو الطلبات'!$A$5:$A$204,MATCH(4,'مقدّمو الطلبات'!$M$5:$M$204,0))&amp;"","")</f>
        <v/>
      </c>
      <c r="B34" s="4">
        <f>IFERROR(INDEX('مقدّمو الطلبات'!$B$5:$B$204,MATCH(4,'مقدّمو الطلبات'!$M$5:$M$204,0))&amp;"","")</f>
        <v/>
      </c>
      <c r="C34" s="5">
        <f>IFERROR(INDEX('مقدّمو الطلبات'!$I$5:$I$204,MATCH(4,'مقدّمو الطلبات'!$M$5:$M$204,0))&amp;"","")</f>
        <v/>
      </c>
      <c r="D34" s="5">
        <f>IFERROR(INDEX('مقدّمو الطلبات'!$H$5:$H$204,MATCH(4,'مقدّمو الطلبات'!$M$5:$M$204,0))&amp;"","")</f>
        <v/>
      </c>
    </row>
    <row r="35">
      <c r="A35" s="5">
        <f>IFERROR(INDEX('مقدّمو الطلبات'!$A$5:$A$204,MATCH(5,'مقدّمو الطلبات'!$M$5:$M$204,0))&amp;"","")</f>
        <v/>
      </c>
      <c r="B35" s="4">
        <f>IFERROR(INDEX('مقدّمو الطلبات'!$B$5:$B$204,MATCH(5,'مقدّمو الطلبات'!$M$5:$M$204,0))&amp;"","")</f>
        <v/>
      </c>
      <c r="C35" s="5">
        <f>IFERROR(INDEX('مقدّمو الطلبات'!$I$5:$I$204,MATCH(5,'مقدّمو الطلبات'!$M$5:$M$204,0))&amp;"","")</f>
        <v/>
      </c>
      <c r="D35" s="5">
        <f>IFERROR(INDEX('مقدّمو الطلبات'!$H$5:$H$204,MATCH(5,'مقدّمو الطلبات'!$M$5:$M$204,0))&amp;"","")</f>
        <v/>
      </c>
    </row>
    <row r="36">
      <c r="A36" s="5">
        <f>IFERROR(INDEX('مقدّمو الطلبات'!$A$5:$A$204,MATCH(6,'مقدّمو الطلبات'!$M$5:$M$204,0))&amp;"","")</f>
        <v/>
      </c>
      <c r="B36" s="4">
        <f>IFERROR(INDEX('مقدّمو الطلبات'!$B$5:$B$204,MATCH(6,'مقدّمو الطلبات'!$M$5:$M$204,0))&amp;"","")</f>
        <v/>
      </c>
      <c r="C36" s="5">
        <f>IFERROR(INDEX('مقدّمو الطلبات'!$I$5:$I$204,MATCH(6,'مقدّمو الطلبات'!$M$5:$M$204,0))&amp;"","")</f>
        <v/>
      </c>
      <c r="D36" s="5">
        <f>IFERROR(INDEX('مقدّمو الطلبات'!$H$5:$H$204,MATCH(6,'مقدّمو الطلبات'!$M$5:$M$204,0))&amp;"","")</f>
        <v/>
      </c>
    </row>
    <row r="37">
      <c r="A37" s="5">
        <f>IFERROR(INDEX('مقدّمو الطلبات'!$A$5:$A$204,MATCH(7,'مقدّمو الطلبات'!$M$5:$M$204,0))&amp;"","")</f>
        <v/>
      </c>
      <c r="B37" s="4">
        <f>IFERROR(INDEX('مقدّمو الطلبات'!$B$5:$B$204,MATCH(7,'مقدّمو الطلبات'!$M$5:$M$204,0))&amp;"","")</f>
        <v/>
      </c>
      <c r="C37" s="5">
        <f>IFERROR(INDEX('مقدّمو الطلبات'!$I$5:$I$204,MATCH(7,'مقدّمو الطلبات'!$M$5:$M$204,0))&amp;"","")</f>
        <v/>
      </c>
      <c r="D37" s="5">
        <f>IFERROR(INDEX('مقدّمو الطلبات'!$H$5:$H$204,MATCH(7,'مقدّمو الطلبات'!$M$5:$M$204,0))&amp;"","")</f>
        <v/>
      </c>
    </row>
    <row r="38">
      <c r="A38" s="5">
        <f>IFERROR(INDEX('مقدّمو الطلبات'!$A$5:$A$204,MATCH(8,'مقدّمو الطلبات'!$M$5:$M$204,0))&amp;"","")</f>
        <v/>
      </c>
      <c r="B38" s="4">
        <f>IFERROR(INDEX('مقدّمو الطلبات'!$B$5:$B$204,MATCH(8,'مقدّمو الطلبات'!$M$5:$M$204,0))&amp;"","")</f>
        <v/>
      </c>
      <c r="C38" s="5">
        <f>IFERROR(INDEX('مقدّمو الطلبات'!$I$5:$I$204,MATCH(8,'مقدّمو الطلبات'!$M$5:$M$204,0))&amp;"","")</f>
        <v/>
      </c>
      <c r="D38" s="5">
        <f>IFERROR(INDEX('مقدّمو الطلبات'!$H$5:$H$204,MATCH(8,'مقدّمو الطلبات'!$M$5:$M$204,0))&amp;"","")</f>
        <v/>
      </c>
    </row>
    <row r="39">
      <c r="A39" s="5">
        <f>IFERROR(INDEX('مقدّمو الطلبات'!$A$5:$A$204,MATCH(9,'مقدّمو الطلبات'!$M$5:$M$204,0))&amp;"","")</f>
        <v/>
      </c>
      <c r="B39" s="4">
        <f>IFERROR(INDEX('مقدّمو الطلبات'!$B$5:$B$204,MATCH(9,'مقدّمو الطلبات'!$M$5:$M$204,0))&amp;"","")</f>
        <v/>
      </c>
      <c r="C39" s="5">
        <f>IFERROR(INDEX('مقدّمو الطلبات'!$I$5:$I$204,MATCH(9,'مقدّمو الطلبات'!$M$5:$M$204,0))&amp;"","")</f>
        <v/>
      </c>
      <c r="D39" s="5">
        <f>IFERROR(INDEX('مقدّمو الطلبات'!$H$5:$H$204,MATCH(9,'مقدّمو الطلبات'!$M$5:$M$204,0))&amp;"","")</f>
        <v/>
      </c>
    </row>
    <row r="40">
      <c r="A40" s="5">
        <f>IFERROR(INDEX('مقدّمو الطلبات'!$A$5:$A$204,MATCH(10,'مقدّمو الطلبات'!$M$5:$M$204,0))&amp;"","")</f>
        <v/>
      </c>
      <c r="B40" s="4">
        <f>IFERROR(INDEX('مقدّمو الطلبات'!$B$5:$B$204,MATCH(10,'مقدّمو الطلبات'!$M$5:$M$204,0))&amp;"","")</f>
        <v/>
      </c>
      <c r="C40" s="5">
        <f>IFERROR(INDEX('مقدّمو الطلبات'!$I$5:$I$204,MATCH(10,'مقدّمو الطلبات'!$M$5:$M$204,0))&amp;"","")</f>
        <v/>
      </c>
      <c r="D40" s="5">
        <f>IFERROR(INDEX('مقدّمو الطلبات'!$H$5:$H$204,MATCH(10,'مقدّمو الطلبات'!$M$5:$M$204,0))&amp;"","")</f>
        <v/>
      </c>
    </row>
    <row r="42">
      <c r="A42" s="23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6" customWidth="1" min="3" max="3"/>
    <col width="8" customWidth="1" min="4" max="4"/>
    <col width="12" customWidth="1" min="5" max="5"/>
    <col width="8" customWidth="1" min="6" max="6"/>
    <col width="12" customWidth="1" min="7" max="7"/>
    <col width="8" customWidth="1" min="8" max="8"/>
    <col width="16" customWidth="1" min="9" max="9"/>
    <col width="26" customWidth="1" min="10" max="10"/>
    <col width="14" customWidth="1" min="11" max="11"/>
    <col width="10" customWidth="1" min="12" max="12"/>
    <col width="34" customWidth="1" min="13" max="13"/>
    <col width="10" customWidth="1" min="14" max="14"/>
  </cols>
  <sheetData>
    <row r="1">
      <c r="A1" s="1" t="inlineStr">
        <is>
          <t>القوائم والنقاط</t>
        </is>
      </c>
    </row>
    <row r="2">
      <c r="A2" s="2" t="inlineStr">
        <is>
          <t>عدّل المسؤولين والقنوات لتطابق فريقك، والنقاط إذا كانت أولوياتك مختلفة. تغذّي القوائم القوائم المنسدلة؛ وتغذّي النقاط عمود «الدرجة».</t>
        </is>
      </c>
    </row>
    <row r="4" ht="30" customHeight="1">
      <c r="A4" s="3" t="inlineStr">
        <is>
          <t>التكرار</t>
        </is>
      </c>
      <c r="B4" s="3" t="inlineStr">
        <is>
          <t>النقاط</t>
        </is>
      </c>
      <c r="C4" s="3" t="inlineStr">
        <is>
          <t>الأثر على العمل</t>
        </is>
      </c>
      <c r="D4" s="3" t="inlineStr">
        <is>
          <t>النقاط</t>
        </is>
      </c>
      <c r="E4" s="3" t="inlineStr">
        <is>
          <t>الحل البديل</t>
        </is>
      </c>
      <c r="F4" s="3" t="inlineStr">
        <is>
          <t>النقاط</t>
        </is>
      </c>
      <c r="G4" s="3" t="inlineStr">
        <is>
          <t>تقدير الجهد</t>
        </is>
      </c>
      <c r="H4" s="3" t="inlineStr">
        <is>
          <t>النقاط</t>
        </is>
      </c>
      <c r="I4" s="3" t="inlineStr">
        <is>
          <t>القرار</t>
        </is>
      </c>
      <c r="J4" s="3" t="inlineStr">
        <is>
          <t>المسؤول</t>
        </is>
      </c>
      <c r="K4" s="3" t="inlineStr">
        <is>
          <t>القناة</t>
        </is>
      </c>
      <c r="L4" s="3" t="inlineStr">
        <is>
          <t>نعم أو لا</t>
        </is>
      </c>
      <c r="M4" s="3" t="inlineStr">
        <is>
          <t>الإعداد</t>
        </is>
      </c>
      <c r="N4" s="3" t="inlineStr">
        <is>
          <t>القيمة</t>
        </is>
      </c>
    </row>
    <row r="5">
      <c r="A5" s="5" t="inlineStr">
        <is>
          <t>يومياً</t>
        </is>
      </c>
      <c r="B5" s="22" t="n">
        <v>3</v>
      </c>
      <c r="C5" s="5" t="inlineStr">
        <is>
          <t>مرتفع: مغادرة أو خسارة بيع</t>
        </is>
      </c>
      <c r="D5" s="22" t="n">
        <v>3</v>
      </c>
      <c r="E5" s="5" t="inlineStr">
        <is>
          <t>لا</t>
        </is>
      </c>
      <c r="F5" s="22" t="n">
        <v>2</v>
      </c>
      <c r="G5" s="5" t="inlineStr">
        <is>
          <t>S: أيام</t>
        </is>
      </c>
      <c r="H5" s="22" t="n">
        <v>0</v>
      </c>
      <c r="I5" s="5" t="inlineStr">
        <is>
          <t>قيد الدراسة</t>
        </is>
      </c>
      <c r="J5" s="5" t="inlineStr">
        <is>
          <t>إينيس مولينا، مسؤولة الدعم</t>
        </is>
      </c>
      <c r="K5" s="5" t="inlineStr">
        <is>
          <t>الدردشة المباشرة</t>
        </is>
      </c>
      <c r="L5" s="5" t="inlineStr">
        <is>
          <t>نعم</t>
        </is>
      </c>
      <c r="M5" s="4" t="inlineStr">
        <is>
          <t>مقدّمو الطلب المحتسبون (الحد الأقصى للنقاط)</t>
        </is>
      </c>
      <c r="N5" s="22" t="n">
        <v>5</v>
      </c>
    </row>
    <row r="6">
      <c r="A6" s="5" t="inlineStr">
        <is>
          <t>أسبوعياً</t>
        </is>
      </c>
      <c r="B6" s="22" t="n">
        <v>2</v>
      </c>
      <c r="C6" s="5" t="inlineStr">
        <is>
          <t>متوسط: وقت ضائع</t>
        </is>
      </c>
      <c r="D6" s="22" t="n">
        <v>2</v>
      </c>
      <c r="E6" s="5" t="inlineStr">
        <is>
          <t>جزئي</t>
        </is>
      </c>
      <c r="F6" s="22" t="n">
        <v>1</v>
      </c>
      <c r="G6" s="5" t="inlineStr">
        <is>
          <t>M: أسابيع</t>
        </is>
      </c>
      <c r="H6" s="22" t="n">
        <v>-2</v>
      </c>
      <c r="I6" s="5" t="inlineStr">
        <is>
          <t>مخطط لها</t>
        </is>
      </c>
      <c r="J6" s="5" t="inlineStr">
        <is>
          <t>رافي مينون، الدعم</t>
        </is>
      </c>
      <c r="K6" s="5" t="inlineStr">
        <is>
          <t>البريد الإلكتروني</t>
        </is>
      </c>
      <c r="L6" s="5" t="inlineStr">
        <is>
          <t>لا</t>
        </is>
      </c>
      <c r="M6" s="4" t="inlineStr">
        <is>
          <t>الإيراد المعرّض للخطر لنيل نقطتين (سنوياً)</t>
        </is>
      </c>
      <c r="N6" s="24" t="n">
        <v>2000</v>
      </c>
    </row>
    <row r="7">
      <c r="A7" s="5" t="inlineStr">
        <is>
          <t>شهرياً</t>
        </is>
      </c>
      <c r="B7" s="22" t="n">
        <v>1</v>
      </c>
      <c r="C7" s="5" t="inlineStr">
        <is>
          <t>منخفض: من الكماليات</t>
        </is>
      </c>
      <c r="D7" s="22" t="n">
        <v>1</v>
      </c>
      <c r="E7" s="5" t="inlineStr">
        <is>
          <t>نعم</t>
        </is>
      </c>
      <c r="F7" s="22" t="n">
        <v>0</v>
      </c>
      <c r="G7" s="5" t="inlineStr">
        <is>
          <t>L: أشهر</t>
        </is>
      </c>
      <c r="H7" s="22" t="n">
        <v>-4</v>
      </c>
      <c r="I7" s="5" t="inlineStr">
        <is>
          <t>غير مخطط لها</t>
        </is>
      </c>
      <c r="J7" s="5" t="inlineStr">
        <is>
          <t>ثيو غرانت، المؤسس</t>
        </is>
      </c>
      <c r="K7" s="5" t="inlineStr">
        <is>
          <t>WhatsApp</t>
        </is>
      </c>
    </row>
    <row r="8">
      <c r="A8" s="5" t="inlineStr">
        <is>
          <t>نادراً</t>
        </is>
      </c>
      <c r="B8" s="22" t="n">
        <v>0</v>
      </c>
      <c r="I8" s="5" t="inlineStr">
        <is>
          <t>أُطلقت</t>
        </is>
      </c>
      <c r="J8" s="5" t="n"/>
      <c r="K8" s="5" t="inlineStr">
        <is>
          <t>الهاتف</t>
        </is>
      </c>
    </row>
    <row r="9">
      <c r="J9" s="5" t="n"/>
      <c r="K9" s="5" t="n"/>
    </row>
    <row r="10">
      <c r="J10" s="5" t="n"/>
      <c r="K10" s="5" t="n"/>
    </row>
    <row r="11">
      <c r="J11" s="5" t="n"/>
    </row>
    <row r="12">
      <c r="J12" s="5" t="n"/>
    </row>
    <row r="13">
      <c r="J13" s="5" t="n"/>
    </row>
    <row r="14">
      <c r="J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طلبات الميزات</dc:title>
  <dcterms:created xmlns:dcterms="http://purl.org/dc/terms/" xmlns:xsi="http://www.w3.org/2001/XMLSchema-instance" xsi:type="dcterms:W3CDTF">2026-10-08T12:58:02Z</dcterms:created>
  <dcterms:modified xmlns:dcterms="http://purl.org/dc/terms/" xmlns:xsi="http://www.w3.org/2001/XMLSchema-instance" xsi:type="dcterms:W3CDTF">2026-10-08T12:58:02Z</dcterms:modified>
</cp:coreProperties>
</file>