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ritères et poids" sheetId="1" state="visible" r:id="rId1"/>
    <sheet xmlns:r="http://schemas.openxmlformats.org/officeDocument/2006/relationships" name="Scores des leads" sheetId="2" state="visible" r:id="rId2"/>
    <sheet xmlns:r="http://schemas.openxmlformats.org/officeDocument/2006/relationships" name="Calibrage" sheetId="3" state="visible" r:id="rId3"/>
  </sheets>
  <definedNames>
    <definedName name="_xlnm._FilterDatabase" localSheetId="1" hidden="1">'Scores des leads'!$A$4:$AF$211</definedName>
  </definedNames>
  <calcPr calcId="124519" fullCalcOnLoad="1"/>
</workbook>
</file>

<file path=xl/styles.xml><?xml version="1.0" encoding="utf-8"?>
<styleSheet xmlns="http://schemas.openxmlformats.org/spreadsheetml/2006/main">
  <numFmts count="3">
    <numFmt numFmtId="164" formatCode="hh:mm"/>
    <numFmt numFmtId="165" formatCode="yyyy-mm-dd hh:mm"/>
    <numFmt numFmtId="166" formatCode="yyyy-mm-dd"/>
  </numFmts>
  <fonts count="11">
    <font>
      <name val="Calibri"/>
      <family val="2"/>
      <color theme="1"/>
      <sz val="11"/>
      <scheme val="minor"/>
    </font>
    <font>
      <name val="Calibri"/>
      <b val="1"/>
      <sz val="16"/>
    </font>
    <font>
      <name val="Calibri"/>
      <color rgb="005D5A70"/>
      <sz val="10"/>
    </font>
    <font>
      <name val="Calibri"/>
      <b val="1"/>
      <color rgb="0015131F"/>
    </font>
    <font>
      <name val="Calibri"/>
      <sz val="10"/>
    </font>
    <font>
      <name val="Calibri"/>
      <b val="1"/>
      <sz val="10"/>
    </font>
    <font>
      <name val="Calibri"/>
      <b val="1"/>
      <color rgb="004B22C9"/>
      <sz val="10"/>
    </font>
    <font>
      <name val="Calibri"/>
      <color rgb="008A87A0"/>
      <sz val="9"/>
    </font>
    <font>
      <name val="Calibri"/>
      <b val="1"/>
      <sz val="12"/>
    </font>
    <font>
      <name val="Calibri"/>
      <b val="1"/>
      <color rgb="004B22C9"/>
      <sz val="11"/>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6">
    <border>
      <left/>
      <right/>
      <top/>
      <bottom/>
      <diagonal/>
    </border>
    <border>
      <left style="thin">
        <color rgb="00E7E4F2"/>
      </left>
      <right style="thin">
        <color rgb="00E7E4F2"/>
      </right>
      <top style="thin">
        <color rgb="00E7E4F2"/>
      </top>
      <bottom style="thin">
        <color rgb="00E7E4F2"/>
      </bottom>
    </border>
    <border>
      <left/>
      <right/>
      <top style="thin">
        <color rgb="00E7E4F2"/>
      </top>
      <bottom/>
      <diagonal/>
    </border>
    <border>
      <left/>
      <right style="thin">
        <color rgb="00E7E4F2"/>
      </right>
      <top style="thin">
        <color rgb="00E7E4F2"/>
      </top>
      <bottom/>
      <diagonal/>
    </border>
    <border>
      <left/>
      <right/>
      <top style="thin">
        <color rgb="00E7E4F2"/>
      </top>
      <bottom style="thin">
        <color rgb="00E7E4F2"/>
      </bottom>
      <diagonal/>
    </border>
    <border>
      <left/>
      <right style="thin">
        <color rgb="00E7E4F2"/>
      </right>
      <top style="thin">
        <color rgb="00E7E4F2"/>
      </top>
      <bottom style="thin">
        <color rgb="00E7E4F2"/>
      </bottom>
      <diagonal/>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wrapText="1"/>
    </xf>
    <xf numFmtId="0" fontId="5" fillId="0" borderId="1" applyAlignment="1" pivotButton="0" quotePrefix="0" xfId="0">
      <alignment vertical="top" wrapText="1"/>
    </xf>
    <xf numFmtId="0" fontId="4" fillId="0" borderId="1" applyAlignment="1" pivotButton="0" quotePrefix="0" xfId="0">
      <alignment vertical="top" wrapText="1"/>
    </xf>
    <xf numFmtId="0" fontId="5" fillId="0" borderId="1" applyAlignment="1" pivotButton="0" quotePrefix="0" xfId="0">
      <alignment horizontal="center" vertical="top" wrapText="1"/>
    </xf>
    <xf numFmtId="0" fontId="5" fillId="3" borderId="1" applyAlignment="1" pivotButton="0" quotePrefix="0" xfId="0">
      <alignment vertical="top" wrapText="1"/>
    </xf>
    <xf numFmtId="0" fontId="5" fillId="3" borderId="1" applyAlignment="1" pivotButton="0" quotePrefix="0" xfId="0">
      <alignment horizontal="center" vertical="top" wrapText="1"/>
    </xf>
    <xf numFmtId="164" fontId="5" fillId="0" borderId="1" applyAlignment="1" pivotButton="0" quotePrefix="0" xfId="0">
      <alignment horizontal="center" vertical="top" wrapText="1"/>
    </xf>
    <xf numFmtId="9" fontId="5" fillId="0" borderId="1" applyAlignment="1" pivotButton="0" quotePrefix="0" xfId="0">
      <alignment horizontal="center" vertical="top" wrapText="1"/>
    </xf>
    <xf numFmtId="0" fontId="6" fillId="0" borderId="0" pivotButton="0" quotePrefix="0" xfId="0"/>
    <xf numFmtId="165" fontId="4" fillId="0" borderId="1" applyAlignment="1" pivotButton="0" quotePrefix="0" xfId="0">
      <alignment vertical="top" wrapText="1"/>
    </xf>
    <xf numFmtId="0" fontId="4" fillId="3" borderId="1" applyAlignment="1" pivotButton="0" quotePrefix="0" xfId="0">
      <alignment horizontal="center" vertical="top" wrapText="1"/>
    </xf>
    <xf numFmtId="165" fontId="4" fillId="3" borderId="1" applyAlignment="1" pivotButton="0" quotePrefix="0" xfId="0">
      <alignment horizontal="center" vertical="top" wrapText="1"/>
    </xf>
    <xf numFmtId="165" fontId="4" fillId="0" borderId="1" applyAlignment="1" pivotButton="0" quotePrefix="0" xfId="0">
      <alignment horizontal="center" vertical="top" wrapText="1"/>
    </xf>
    <xf numFmtId="166" fontId="4" fillId="0" borderId="1" applyAlignment="1" pivotButton="0" quotePrefix="0" xfId="0">
      <alignment horizontal="center" vertical="top" wrapText="1"/>
    </xf>
    <xf numFmtId="3" fontId="4" fillId="0" borderId="1" applyAlignment="1" pivotButton="0" quotePrefix="0" xfId="0">
      <alignment vertical="top" wrapText="1"/>
    </xf>
    <xf numFmtId="0" fontId="7" fillId="0" borderId="0" pivotButton="0" quotePrefix="0" xfId="0"/>
    <xf numFmtId="9" fontId="5" fillId="3" borderId="1" applyAlignment="1" pivotButton="0" quotePrefix="0" xfId="0">
      <alignment horizontal="center" vertical="top" wrapText="1"/>
    </xf>
    <xf numFmtId="9" fontId="4" fillId="3" borderId="1" applyAlignment="1" pivotButton="0" quotePrefix="0" xfId="0">
      <alignment horizontal="center" vertical="top" wrapText="1"/>
    </xf>
    <xf numFmtId="0" fontId="8" fillId="0" borderId="0" pivotButton="0" quotePrefix="0" xfId="0"/>
    <xf numFmtId="0" fontId="0" fillId="0" borderId="4" pivotButton="0" quotePrefix="0" xfId="0"/>
    <xf numFmtId="0" fontId="0" fillId="0" borderId="5" pivotButton="0" quotePrefix="0" xfId="0"/>
    <xf numFmtId="0" fontId="9" fillId="3" borderId="1" applyAlignment="1" pivotButton="0" quotePrefix="0" xfId="0">
      <alignment horizontal="center" vertical="top" wrapText="1"/>
    </xf>
    <xf numFmtId="0" fontId="10" fillId="0" borderId="0" pivotButton="0" quotePrefix="0" xfId="0"/>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4B22C9"/>
      </font>
      <fill>
        <patternFill patternType="solid">
          <fgColor rgb="00EFE9FF"/>
        </patternFill>
      </fill>
    </dxf>
    <dxf>
      <font>
        <b val="1"/>
        <color rgb="009A5B00"/>
      </font>
      <fill>
        <patternFill patternType="solid">
          <fgColor rgb="00FFF3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1"/>
  <sheetViews>
    <sheetView rightToLeft="0" workbookViewId="0">
      <pane ySplit="4" topLeftCell="A5" activePane="bottomLeft" state="frozen"/>
      <selection pane="bottomLeft" activeCell="A1" sqref="A1"/>
    </sheetView>
  </sheetViews>
  <sheetFormatPr baseColWidth="8" defaultRowHeight="15"/>
  <cols>
    <col width="8" customWidth="1" min="1" max="1"/>
    <col width="40" customWidth="1" min="2" max="2"/>
    <col width="14" customWidth="1" min="3" max="3"/>
    <col width="40" customWidth="1" min="4" max="4"/>
    <col width="34" customWidth="1" min="5" max="5"/>
    <col width="36" customWidth="1" min="6" max="6"/>
    <col width="9" customWidth="1" min="7" max="7"/>
  </cols>
  <sheetData>
    <row r="1">
      <c r="A1" s="1" t="inlineStr">
        <is>
          <t>Modèle de lead scoring : critères et poids</t>
        </is>
      </c>
    </row>
    <row r="2">
      <c r="A2" s="2" t="inlineStr">
        <is>
          <t>Adaptez les mots, les poids et les catégories à votre activité. Les poids doivent totaliser 100. Exemple : Juniper Ledger, un cabinet de tenue de comptabilité fictif à Denver, dans le Colorado.</t>
        </is>
      </c>
    </row>
    <row r="4" ht="32" customHeight="1">
      <c r="A4" s="3" t="inlineStr">
        <is>
          <t>N°</t>
        </is>
      </c>
      <c r="B4" s="3" t="inlineStr">
        <is>
          <t>Critère</t>
        </is>
      </c>
      <c r="C4" s="3" t="inlineStr">
        <is>
          <t>Groupe</t>
        </is>
      </c>
      <c r="D4" s="3" t="inlineStr">
        <is>
          <t>Tous les points si le lead dit</t>
        </is>
      </c>
      <c r="E4" s="3" t="inlineStr">
        <is>
          <t>La moitié des points</t>
        </is>
      </c>
      <c r="F4" s="3" t="inlineStr">
        <is>
          <t>Question à poser</t>
        </is>
      </c>
      <c r="G4" s="3" t="inlineStr">
        <is>
          <t>Poids</t>
        </is>
      </c>
    </row>
    <row r="5">
      <c r="A5" s="4" t="n">
        <v>1</v>
      </c>
      <c r="B5" s="5" t="inlineStr">
        <is>
          <t>Taille</t>
        </is>
      </c>
      <c r="C5" s="4" t="inlineStr">
        <is>
          <t>Adéquation</t>
        </is>
      </c>
      <c r="D5" s="6" t="inlineStr">
        <is>
          <t>5 à 50 salariés</t>
        </is>
      </c>
      <c r="E5" s="6" t="inlineStr">
        <is>
          <t>3 ou 4, ou 51 à 80 salariés, ou « environ »</t>
        </is>
      </c>
      <c r="F5" s="6" t="inlineStr">
        <is>
          <t>Combien de personnes travaillent dans votre entreprise ?</t>
        </is>
      </c>
      <c r="G5" s="7" t="n">
        <v>12</v>
      </c>
    </row>
    <row r="6">
      <c r="A6" s="4" t="n">
        <v>2</v>
      </c>
      <c r="B6" s="5" t="inlineStr">
        <is>
          <t>Zone d’intervention</t>
        </is>
      </c>
      <c r="C6" s="4" t="inlineStr">
        <is>
          <t>Adéquation</t>
        </is>
      </c>
      <c r="D6" s="6" t="inlineStr">
        <is>
          <t>Basé au Colorado</t>
        </is>
      </c>
      <c r="E6" s="6" t="inlineStr">
        <is>
          <t>S’installe bientôt au Colorado</t>
        </is>
      </c>
      <c r="F6" s="6" t="inlineStr">
        <is>
          <t>Où votre entreprise est-elle basée ?</t>
        </is>
      </c>
      <c r="G6" s="7" t="n">
        <v>10</v>
      </c>
    </row>
    <row r="7">
      <c r="A7" s="4" t="n">
        <v>3</v>
      </c>
      <c r="B7" s="5" t="inlineStr">
        <is>
          <t>Offre adaptée</t>
        </is>
      </c>
      <c r="C7" s="4" t="inlineStr">
        <is>
          <t>Adéquation</t>
        </is>
      </c>
      <c r="D7" s="6" t="inlineStr">
        <is>
          <t>Cherche une tenue de comptabilité mensuelle ou la paie</t>
        </is>
      </c>
      <c r="E7" s="6" t="inlineStr">
        <is>
          <t>En a besoin, plus un travail que nous ne faisons pas</t>
        </is>
      </c>
      <c r="F7" s="6" t="inlineStr">
        <is>
          <t>Pour quoi souhaitez-vous de l’aide ?</t>
        </is>
      </c>
      <c r="G7" s="7" t="n">
        <v>12</v>
      </c>
    </row>
    <row r="8">
      <c r="A8" s="4" t="n">
        <v>4</v>
      </c>
      <c r="B8" s="5" t="inlineStr">
        <is>
          <t>Outils</t>
        </is>
      </c>
      <c r="C8" s="4" t="inlineStr">
        <is>
          <t>Adéquation</t>
        </is>
      </c>
      <c r="D8" s="6" t="inlineStr">
        <is>
          <t>QuickBooks Online ou Xero</t>
        </is>
      </c>
      <c r="E8" s="6" t="inlineStr">
        <is>
          <t>Ne sait pas quel logiciel</t>
        </is>
      </c>
      <c r="F8" s="6" t="inlineStr">
        <is>
          <t>Sur quel logiciel votre comptabilité est-elle tenue ?</t>
        </is>
      </c>
      <c r="G8" s="7" t="n">
        <v>6</v>
      </c>
    </row>
    <row r="9">
      <c r="A9" s="4" t="n">
        <v>5</v>
      </c>
      <c r="B9" s="5" t="inlineStr">
        <is>
          <t>Besoin</t>
        </is>
      </c>
      <c r="C9" s="4" t="inlineStr">
        <is>
          <t>Intention</t>
        </is>
      </c>
      <c r="D9" s="6" t="inlineStr">
        <is>
          <t>Un problème précis, dans ses propres mots</t>
        </is>
      </c>
      <c r="E9" s="6" t="inlineStr">
        <is>
          <t>« On regarde les options »</t>
        </is>
      </c>
      <c r="F9" s="6" t="inlineStr">
        <is>
          <t>Qu’est-ce qui vous a poussé à chercher de l’aide maintenant ?</t>
        </is>
      </c>
      <c r="G9" s="7" t="n">
        <v>16</v>
      </c>
    </row>
    <row r="10">
      <c r="A10" s="4" t="n">
        <v>6</v>
      </c>
      <c r="B10" s="5" t="inlineStr">
        <is>
          <t>Délai</t>
        </is>
      </c>
      <c r="C10" s="4" t="inlineStr">
        <is>
          <t>Intention</t>
        </is>
      </c>
      <c r="D10" s="6" t="inlineStr">
        <is>
          <t>Une date de début ou une échéance sous 60 jours</t>
        </is>
      </c>
      <c r="E10" s="6" t="inlineStr">
        <is>
          <t>Sous 6 mois, ou « bientôt »</t>
        </is>
      </c>
      <c r="F10" s="6" t="inlineStr">
        <is>
          <t>Y a-t-il une date pour laquelle il vous faut cela ?</t>
        </is>
      </c>
      <c r="G10" s="7" t="n">
        <v>16</v>
      </c>
    </row>
    <row r="11">
      <c r="A11" s="4" t="n">
        <v>7</v>
      </c>
      <c r="B11" s="5" t="inlineStr">
        <is>
          <t>Preuve de budget</t>
        </is>
      </c>
      <c r="C11" s="4" t="inlineStr">
        <is>
          <t>Intention</t>
        </is>
      </c>
      <c r="D11" s="6" t="inlineStr">
        <is>
          <t>Un budget ou une dépense actuelle de 450 $ par mois ou plus</t>
        </is>
      </c>
      <c r="E11" s="6" t="inlineStr">
        <is>
          <t>Couvre une partie du travail, ou « ça dépend du prix »</t>
        </is>
      </c>
      <c r="F11" s="6" t="inlineStr">
        <is>
          <t>Combien payez-vous la tenue de votre comptabilité aujourd’hui ?</t>
        </is>
      </c>
      <c r="G11" s="7" t="n">
        <v>12</v>
      </c>
    </row>
    <row r="12">
      <c r="A12" s="4" t="n">
        <v>8</v>
      </c>
      <c r="B12" s="5" t="inlineStr">
        <is>
          <t>Autorité</t>
        </is>
      </c>
      <c r="C12" s="4" t="inlineStr">
        <is>
          <t>Intention</t>
        </is>
      </c>
      <c r="D12" s="6" t="inlineStr">
        <is>
          <t>Décide, ou le décideur participe à l’appel</t>
        </is>
      </c>
      <c r="E12" s="6" t="inlineStr">
        <is>
          <t>Nomme qui décide, pas encore impliqué</t>
        </is>
      </c>
      <c r="F12" s="6" t="inlineStr">
        <is>
          <t>Qui décidera du choix du nouveau comptable ?</t>
        </is>
      </c>
      <c r="G12" s="7" t="n">
        <v>10</v>
      </c>
    </row>
    <row r="13">
      <c r="A13" s="4" t="n">
        <v>9</v>
      </c>
      <c r="B13" s="5" t="inlineStr">
        <is>
          <t>Prochaine étape</t>
        </is>
      </c>
      <c r="C13" s="4" t="inlineStr">
        <is>
          <t>Intention</t>
        </is>
      </c>
      <c r="D13" s="6" t="inlineStr">
        <is>
          <t>Demande un appel, un prix ou une proposition</t>
        </is>
      </c>
      <c r="E13" s="6" t="inlineStr">
        <is>
          <t>Accepte un appel quand nous le proposons</t>
        </is>
      </c>
      <c r="F13" s="6" t="inlineStr">
        <is>
          <t>Voulez-vous que nous fixions un appel de 20 minutes ?</t>
        </is>
      </c>
      <c r="G13" s="7" t="n">
        <v>6</v>
      </c>
    </row>
    <row r="14">
      <c r="B14" s="5" t="inlineStr">
        <is>
          <t>Total des poids</t>
        </is>
      </c>
      <c r="D14" s="8">
        <f>IF(G14=100,"Le total fait 100","Ramenez le total à 100")</f>
        <v/>
      </c>
      <c r="G14" s="9">
        <f>SUM(G5:G13)</f>
        <v/>
      </c>
    </row>
    <row r="16" ht="28" customHeight="1">
      <c r="A16" s="3" t="inlineStr">
        <is>
          <t>N°</t>
        </is>
      </c>
      <c r="B16" s="3" t="inlineStr">
        <is>
          <t>Signal négatif</t>
        </is>
      </c>
      <c r="C16" s="3" t="inlineStr">
        <is>
          <t>Points</t>
        </is>
      </c>
      <c r="D16" s="3" t="inlineStr">
        <is>
          <t>Exemple dans ses mots</t>
        </is>
      </c>
    </row>
    <row r="17">
      <c r="A17" s="4" t="n">
        <v>1</v>
      </c>
      <c r="B17" s="5" t="inlineStr">
        <is>
          <t>Compare seulement les prix</t>
        </is>
      </c>
      <c r="C17" s="4" t="n">
        <v>-10</v>
      </c>
      <c r="D17" s="6" t="inlineStr">
        <is>
          <t>« Envoyez-moi juste votre prix le plus bas. »</t>
        </is>
      </c>
    </row>
    <row r="18">
      <c r="A18" s="4" t="n">
        <v>2</v>
      </c>
      <c r="B18" s="5" t="inlineStr">
        <is>
          <t>Début dans plus de 6 mois</t>
        </is>
      </c>
      <c r="C18" s="4" t="n">
        <v>-10</v>
      </c>
      <c r="D18" s="6" t="inlineStr">
        <is>
          <t>« Peut-être après la prochaine saison fiscale. »</t>
        </is>
      </c>
    </row>
    <row r="19">
      <c r="A19" s="4" t="n">
        <v>3</v>
      </c>
      <c r="B19" s="5" t="inlineStr">
        <is>
          <t>Budget sous 450 $ par mois</t>
        </is>
      </c>
      <c r="C19" s="4" t="n">
        <v>-15</v>
      </c>
      <c r="D19" s="6" t="inlineStr">
        <is>
          <t>« Nous pouvons mettre 300 $ par mois au maximum. »</t>
        </is>
      </c>
    </row>
    <row r="20">
      <c r="A20" s="4" t="n">
        <v>4</v>
      </c>
      <c r="B20" s="5" t="inlineStr">
        <is>
          <t>Conditions que nous n’offrons pas</t>
        </is>
      </c>
      <c r="C20" s="4" t="n">
        <v>-10</v>
      </c>
      <c r="D20" s="6" t="inlineStr">
        <is>
          <t>« Pouvez-vous nous donner un prix fixe avant de voir les comptes ? »</t>
        </is>
      </c>
    </row>
    <row r="22" ht="28" customHeight="1">
      <c r="A22" s="3" t="inlineStr">
        <is>
          <t>N°</t>
        </is>
      </c>
      <c r="B22" s="3" t="inlineStr">
        <is>
          <t>Critère éliminatoire</t>
        </is>
      </c>
      <c r="C22" s="3" t="inlineStr">
        <is>
          <t>Que faire</t>
        </is>
      </c>
    </row>
    <row r="23">
      <c r="A23" s="4" t="n">
        <v>1</v>
      </c>
      <c r="B23" s="5" t="inlineStr">
        <is>
          <t>Pas un acheteur : candidat à un emploi, fournisseur, concurrent, spam</t>
        </is>
      </c>
      <c r="C23" s="6" t="n"/>
      <c r="D23" s="6" t="inlineStr">
        <is>
          <t>Réponse courte, ou aucune pour le spam. Statut Indésirable.</t>
        </is>
      </c>
    </row>
    <row r="24">
      <c r="A24" s="4" t="n">
        <v>2</v>
      </c>
      <c r="B24" s="5" t="inlineStr">
        <is>
          <t>Déclarations d’impôts personnelles uniquement</t>
        </is>
      </c>
      <c r="C24" s="6" t="n"/>
      <c r="D24" s="6" t="inlineStr">
        <is>
          <t>Refus poli, indiquer un spécialiste des déclarations d’impôts.</t>
        </is>
      </c>
    </row>
    <row r="25">
      <c r="A25" s="4" t="n">
        <v>3</v>
      </c>
      <c r="B25" s="5" t="inlineStr">
        <is>
          <t>Entreprise hors du Colorado</t>
        </is>
      </c>
      <c r="C25" s="6" t="n"/>
      <c r="D25" s="6" t="inlineStr">
        <is>
          <t>Refus poli, avec la raison.</t>
        </is>
      </c>
    </row>
    <row r="26">
      <c r="A26" s="4" t="n">
        <v>4</v>
      </c>
      <c r="B26" s="5" t="inlineStr">
        <is>
          <t>Budget sous 225 $ par mois</t>
        </is>
      </c>
      <c r="C26" s="6" t="n"/>
      <c r="D26" s="6" t="inlineStr">
        <is>
          <t>Refus poli, envoyer la liste de contrôle pour tout faire soi-même.</t>
        </is>
      </c>
    </row>
    <row r="28" ht="32" customHeight="1">
      <c r="A28" s="3" t="inlineStr">
        <is>
          <t>Catégorie</t>
        </is>
      </c>
      <c r="B28" s="3" t="inlineStr">
        <is>
          <t>Action</t>
        </is>
      </c>
      <c r="C28" s="3" t="inlineStr">
        <is>
          <t>Score min.</t>
        </is>
      </c>
      <c r="D28" s="3" t="inlineStr">
        <is>
          <t>Responsable</t>
        </is>
      </c>
      <c r="E28" s="3" t="inlineStr">
        <is>
          <t>Répondre sous (heures ouvrées)</t>
        </is>
      </c>
      <c r="F28" s="3" t="inlineStr">
        <is>
          <t>Statut du lead</t>
        </is>
      </c>
    </row>
    <row r="29">
      <c r="A29" s="7" t="inlineStr">
        <is>
          <t>A</t>
        </is>
      </c>
      <c r="B29" s="6" t="inlineStr">
        <is>
          <t>Appeler, ou répondre avec deux créneaux de rendez-vous</t>
        </is>
      </c>
      <c r="C29" s="4" t="n">
        <v>70</v>
      </c>
      <c r="D29" s="5" t="inlineStr">
        <is>
          <t>Rosa</t>
        </is>
      </c>
      <c r="E29" s="4" t="n">
        <v>1</v>
      </c>
      <c r="F29" s="6" t="inlineStr">
        <is>
          <t>Qualifié</t>
        </is>
      </c>
    </row>
    <row r="30">
      <c r="A30" s="7" t="inlineStr">
        <is>
          <t>B</t>
        </is>
      </c>
      <c r="B30" s="6" t="inlineStr">
        <is>
          <t>Poser les questions sans réponse, proposer une seule prochaine étape</t>
        </is>
      </c>
      <c r="C30" s="4" t="n">
        <v>45</v>
      </c>
      <c r="D30" s="5" t="inlineStr">
        <is>
          <t>Ben</t>
        </is>
      </c>
      <c r="E30" s="4" t="n">
        <v>4</v>
      </c>
      <c r="F30" s="6" t="inlineStr">
        <is>
          <t>En cours</t>
        </is>
      </c>
    </row>
    <row r="31">
      <c r="A31" s="7" t="inlineStr">
        <is>
          <t>C</t>
        </is>
      </c>
      <c r="B31" s="6" t="inlineStr">
        <is>
          <t>Envoyer une ressource utile, relancer après 30 jours</t>
        </is>
      </c>
      <c r="C31" s="4" t="n">
        <v>0</v>
      </c>
      <c r="D31" s="5" t="inlineStr">
        <is>
          <t>Ben</t>
        </is>
      </c>
      <c r="E31" s="4" t="n">
        <v>8</v>
      </c>
      <c r="F31" s="6" t="inlineStr">
        <is>
          <t>En cours</t>
        </is>
      </c>
    </row>
    <row r="32">
      <c r="A32" s="7" t="inlineStr">
        <is>
          <t>X</t>
        </is>
      </c>
      <c r="B32" s="6" t="inlineStr">
        <is>
          <t>Refus poli avec la raison</t>
        </is>
      </c>
      <c r="C32" s="4" t="inlineStr">
        <is>
          <t>Tout critère éliminatoire</t>
        </is>
      </c>
      <c r="D32" s="5" t="inlineStr">
        <is>
          <t>Ben</t>
        </is>
      </c>
      <c r="E32" s="4" t="n">
        <v>16</v>
      </c>
      <c r="F32" s="6" t="inlineStr">
        <is>
          <t>Indésirable</t>
        </is>
      </c>
    </row>
    <row r="33">
      <c r="A33" s="2" t="inlineStr">
        <is>
          <t>Les heures ouvrées vont de l’Ouverture à la Fermeture, du lundi au vendredi : 8 heures = 1 jour ouvré. Pour un lead arrivé en dehors des horaires ou le week-end, le décompte démarre à l’ouverture suivante. Les jours fériés ne sont pas comptés.</t>
        </is>
      </c>
    </row>
    <row r="35" ht="24" customHeight="1">
      <c r="A35" s="3" t="inlineStr">
        <is>
          <t>Réglage</t>
        </is>
      </c>
      <c r="B35" s="3" t="inlineStr">
        <is>
          <t>Valeur</t>
        </is>
      </c>
    </row>
    <row r="36">
      <c r="B36" s="6" t="inlineStr">
        <is>
          <t>Ouverture</t>
        </is>
      </c>
      <c r="C36" s="10" t="n">
        <v>0.375</v>
      </c>
    </row>
    <row r="37">
      <c r="B37" s="6" t="inlineStr">
        <is>
          <t>Fermeture</t>
        </is>
      </c>
      <c r="C37" s="10" t="n">
        <v>0.7083333333333334</v>
      </c>
    </row>
    <row r="38">
      <c r="B38" s="6" t="inlineStr">
        <is>
          <t>Décroissance : points perdus par période de 7 jours sans réponse du lead</t>
        </is>
      </c>
      <c r="C38" s="7" t="n">
        <v>5</v>
      </c>
    </row>
    <row r="39">
      <c r="B39" s="6" t="inlineStr">
        <is>
          <t>Leads clos nécessaires avant de changer les poids</t>
        </is>
      </c>
      <c r="C39" s="7" t="n">
        <v>20</v>
      </c>
    </row>
    <row r="40">
      <c r="B40" s="6" t="inlineStr">
        <is>
          <t>Augmenter un poids si l’écart atteint au moins</t>
        </is>
      </c>
      <c r="C40" s="11" t="n">
        <v>0.3</v>
      </c>
    </row>
    <row r="41">
      <c r="B41" s="6" t="inlineStr">
        <is>
          <t>Baisser un poids si l’écart est inférieur à</t>
        </is>
      </c>
      <c r="C41" s="11" t="n">
        <v>0.1</v>
      </c>
    </row>
  </sheetData>
  <conditionalFormatting sqref="D14">
    <cfRule type="expression" priority="1" dxfId="0">
      <formula>$D14="Le total fait 100"</formula>
    </cfRule>
    <cfRule type="expression" priority="2" dxfId="1">
      <formula>$D14="Ramenez le total à 100"</formula>
    </cfRule>
  </conditionalFormatting>
  <conditionalFormatting sqref="A29:A32">
    <cfRule type="expression" priority="3" dxfId="0">
      <formula>$A29="A"</formula>
    </cfRule>
    <cfRule type="expression" priority="4" dxfId="2">
      <formula>$A29="B"</formula>
    </cfRule>
    <cfRule type="expression" priority="5" dxfId="3">
      <formula>$A29="C"</formula>
    </cfRule>
    <cfRule type="expression" priority="6" dxfId="1">
      <formula>$A29="X"</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N211"/>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16" customWidth="1" min="1" max="1"/>
    <col width="13" customWidth="1" min="2" max="2"/>
    <col width="22" customWidth="1" min="3" max="3"/>
    <col width="13"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22" customWidth="1" min="14" max="14"/>
    <col width="24" customWidth="1" min="15" max="15"/>
    <col width="7" customWidth="1" min="16" max="16"/>
    <col width="7" customWidth="1" min="17" max="17"/>
    <col width="9" customWidth="1" min="18" max="18"/>
    <col width="8" customWidth="1" min="19" max="19"/>
    <col width="8" customWidth="1" min="20" max="20"/>
    <col width="9" customWidth="1" min="21" max="21"/>
    <col width="12" customWidth="1" min="22" max="22"/>
    <col width="16" customWidth="1" min="23" max="23"/>
    <col width="16" customWidth="1" min="24" max="24"/>
    <col width="10" customWidth="1" min="25" max="25"/>
    <col width="13" customWidth="1" min="26" max="26"/>
    <col width="8" customWidth="1" min="27" max="27"/>
    <col width="9" customWidth="1" min="28" max="28"/>
    <col width="9" customWidth="1" min="29" max="29"/>
    <col width="10" customWidth="1" min="30" max="30"/>
    <col width="11" customWidth="1" min="31" max="31"/>
    <col width="44" customWidth="1" min="32" max="32"/>
    <col hidden="1" width="13" customWidth="1" min="34" max="34"/>
    <col hidden="1" width="13" customWidth="1" min="35" max="35"/>
    <col hidden="1" width="13" customWidth="1" min="36" max="36"/>
    <col hidden="1" width="13" customWidth="1" min="38" max="38"/>
    <col hidden="1" width="13" customWidth="1" min="39" max="39"/>
    <col hidden="1" width="13" customWidth="1" min="40" max="40"/>
  </cols>
  <sheetData>
    <row r="1">
      <c r="A1" s="1" t="inlineStr">
        <is>
          <t>Scores des leads</t>
        </is>
      </c>
    </row>
    <row r="2">
      <c r="A2" s="2" t="inlineStr">
        <is>
          <t>Une ligne par lead. Pour chaque critère, choisissez Clair, Partiel ou Non mentionné, d’après ce que le lead a vraiment dit. Le score, la catégorie, le responsable, le statut, l’heure limite de réponse et la décroissance se remplissent seuls. Exemple : Juniper Ledger, du 1er septembre au 6 octobre 2026.</t>
        </is>
      </c>
    </row>
    <row r="3">
      <c r="E3" s="12" t="inlineStr">
        <is>
          <t>Points d’adéquation</t>
        </is>
      </c>
      <c r="I3" s="12" t="inlineStr">
        <is>
          <t>Points d’intention</t>
        </is>
      </c>
    </row>
    <row r="4" ht="44" customHeight="1">
      <c r="A4" s="3" t="inlineStr">
        <is>
          <t>Reçu</t>
        </is>
      </c>
      <c r="B4" s="3" t="inlineStr">
        <is>
          <t>Lead</t>
        </is>
      </c>
      <c r="C4" s="3" t="inlineStr">
        <is>
          <t>Entreprise</t>
        </is>
      </c>
      <c r="D4" s="3" t="inlineStr">
        <is>
          <t>Source</t>
        </is>
      </c>
      <c r="E4" s="3" t="inlineStr">
        <is>
          <t>Taille</t>
        </is>
      </c>
      <c r="F4" s="3" t="inlineStr">
        <is>
          <t>Zone d’intervention</t>
        </is>
      </c>
      <c r="G4" s="3" t="inlineStr">
        <is>
          <t>Offre adaptée</t>
        </is>
      </c>
      <c r="H4" s="3" t="inlineStr">
        <is>
          <t>Outils</t>
        </is>
      </c>
      <c r="I4" s="3" t="inlineStr">
        <is>
          <t>Besoin</t>
        </is>
      </c>
      <c r="J4" s="3" t="inlineStr">
        <is>
          <t>Délai</t>
        </is>
      </c>
      <c r="K4" s="3" t="inlineStr">
        <is>
          <t>Preuve de budget</t>
        </is>
      </c>
      <c r="L4" s="3" t="inlineStr">
        <is>
          <t>Autorité</t>
        </is>
      </c>
      <c r="M4" s="3" t="inlineStr">
        <is>
          <t>Prochaine étape</t>
        </is>
      </c>
      <c r="N4" s="3" t="inlineStr">
        <is>
          <t>Signal négatif</t>
        </is>
      </c>
      <c r="O4" s="3" t="inlineStr">
        <is>
          <t>Critère éliminatoire</t>
        </is>
      </c>
      <c r="P4" s="3" t="inlineStr">
        <is>
          <t>Adéquation</t>
        </is>
      </c>
      <c r="Q4" s="3" t="inlineStr">
        <is>
          <t>Intention</t>
        </is>
      </c>
      <c r="R4" s="3" t="inlineStr">
        <is>
          <t>Négatif</t>
        </is>
      </c>
      <c r="S4" s="3" t="inlineStr">
        <is>
          <t>Score</t>
        </is>
      </c>
      <c r="T4" s="3" t="inlineStr">
        <is>
          <t>Catégorie</t>
        </is>
      </c>
      <c r="U4" s="3" t="inlineStr">
        <is>
          <t>Responsable</t>
        </is>
      </c>
      <c r="V4" s="3" t="inlineStr">
        <is>
          <t>Statut du lead</t>
        </is>
      </c>
      <c r="W4" s="3" t="inlineStr">
        <is>
          <t>Répondre avant</t>
        </is>
      </c>
      <c r="X4" s="3" t="inlineStr">
        <is>
          <t>Première réponse</t>
        </is>
      </c>
      <c r="Y4" s="3" t="inlineStr">
        <is>
          <t>À temps</t>
        </is>
      </c>
      <c r="Z4" s="3" t="inlineStr">
        <is>
          <t>Dernière réponse du lead</t>
        </is>
      </c>
      <c r="AA4" s="3" t="inlineStr">
        <is>
          <t>Décroissance</t>
        </is>
      </c>
      <c r="AB4" s="3" t="inlineStr">
        <is>
          <t>Score actuel</t>
        </is>
      </c>
      <c r="AC4" s="3" t="inlineStr">
        <is>
          <t>Catégorie actuelle</t>
        </is>
      </c>
      <c r="AD4" s="3" t="inlineStr">
        <is>
          <t>Résultat</t>
        </is>
      </c>
      <c r="AE4" s="3" t="inlineStr">
        <is>
          <t>Valeur de l’affaire ($ par an)</t>
        </is>
      </c>
      <c r="AF4" s="3" t="inlineStr">
        <is>
          <t>Questions sans réponse et notes</t>
        </is>
      </c>
    </row>
    <row r="5">
      <c r="A5" s="13" t="n">
        <v>46266.40277777778</v>
      </c>
      <c r="B5" s="6" t="inlineStr">
        <is>
          <t>Hana O.</t>
        </is>
      </c>
      <c r="C5" s="6" t="inlineStr">
        <is>
          <t>Pinyon Dental Lab</t>
        </is>
      </c>
      <c r="D5" s="4" t="inlineStr">
        <is>
          <t>Chat du site</t>
        </is>
      </c>
      <c r="E5" s="4" t="inlineStr">
        <is>
          <t>Clair</t>
        </is>
      </c>
      <c r="F5" s="4" t="inlineStr">
        <is>
          <t>Clair</t>
        </is>
      </c>
      <c r="G5" s="4" t="inlineStr">
        <is>
          <t>Clair</t>
        </is>
      </c>
      <c r="H5" s="4" t="inlineStr">
        <is>
          <t>Clair</t>
        </is>
      </c>
      <c r="I5" s="4" t="inlineStr">
        <is>
          <t>Clair</t>
        </is>
      </c>
      <c r="J5" s="4" t="inlineStr">
        <is>
          <t>Clair</t>
        </is>
      </c>
      <c r="K5" s="4" t="inlineStr">
        <is>
          <t>Clair</t>
        </is>
      </c>
      <c r="L5" s="4" t="inlineStr">
        <is>
          <t>Partiel</t>
        </is>
      </c>
      <c r="M5" s="4" t="inlineStr">
        <is>
          <t>Clair</t>
        </is>
      </c>
      <c r="N5" s="6" t="n"/>
      <c r="O5" s="6" t="n"/>
      <c r="P5" s="14">
        <f>IF($B5="","",(E5="Clair")*'Critères et poids'!$G$5+(E5="Partiel")*'Critères et poids'!$G$5/2+(F5="Clair")*'Critères et poids'!$G$6+(F5="Partiel")*'Critères et poids'!$G$6/2+(G5="Clair")*'Critères et poids'!$G$7+(G5="Partiel")*'Critères et poids'!$G$7/2+(H5="Clair")*'Critères et poids'!$G$8+(H5="Partiel")*'Critères et poids'!$G$8/2)</f>
        <v/>
      </c>
      <c r="Q5" s="14">
        <f>IF($B5="","",(I5="Clair")*'Critères et poids'!$G$9+(I5="Partiel")*'Critères et poids'!$G$9/2+(J5="Clair")*'Critères et poids'!$G$10+(J5="Partiel")*'Critères et poids'!$G$10/2+(K5="Clair")*'Critères et poids'!$G$11+(K5="Partiel")*'Critères et poids'!$G$11/2+(L5="Clair")*'Critères et poids'!$G$12+(L5="Partiel")*'Critères et poids'!$G$12/2+(M5="Clair")*'Critères et poids'!$G$13+(M5="Partiel")*'Critères et poids'!$G$13/2)</f>
        <v/>
      </c>
      <c r="R5" s="14">
        <f>IF($B5="","",IFERROR(VLOOKUP(N5,'Critères et poids'!$B$17:$C$20,2,FALSE),0))</f>
        <v/>
      </c>
      <c r="S5" s="9">
        <f>IF($B5="","",MAX(0,P5+Q5+R5))</f>
        <v/>
      </c>
      <c r="T5" s="9">
        <f>IF($B5="","",IF(O5&lt;&gt;"","X",IF(S5&gt;='Critères et poids'!$C$29,"A",IF(S5&gt;='Critères et poids'!$C$30,"B","C"))))</f>
        <v/>
      </c>
      <c r="U5" s="14">
        <f>IF(T5="","",INDEX('Critères et poids'!$D$29:$D$32,MATCH(T5,'Critères et poids'!$A$29:$A$32,0)))</f>
        <v/>
      </c>
      <c r="V5" s="14">
        <f>IF(T5="","",INDEX('Critères et poids'!$F$29:$F$32,MATCH(T5,'Critères et poids'!$A$29:$A$32,0)))</f>
        <v/>
      </c>
      <c r="W5" s="15">
        <f>IF(OR(AH5="",AJ5=""),"",IF(AI5+AJ5*60&lt;=ROUND('Critères et poids'!$C$37*1440,0),INT(AH5)+(AI5+AJ5*60)/1440,WORKDAY(INT(AH5),1+INT((AI5+AJ5*60-ROUND('Critères et poids'!$C$37*1440,0)-1)/(ROUND('Critères et poids'!$C$37*1440,0)-ROUND('Critères et poids'!$C$36*1440,0))))+(ROUND('Critères et poids'!$C$36*1440,0)+AI5+AJ5*60-ROUND('Critères et poids'!$C$37*1440,0)-INT((AI5+AJ5*60-ROUND('Critères et poids'!$C$37*1440,0)-1)/(ROUND('Critères et poids'!$C$37*1440,0)-ROUND('Critères et poids'!$C$36*1440,0)))*(ROUND('Critères et poids'!$C$37*1440,0)-ROUND('Critères et poids'!$C$36*1440,0)))/1440))</f>
        <v/>
      </c>
      <c r="X5" s="16" t="n">
        <v>46266.41527777778</v>
      </c>
      <c r="Y5" s="14">
        <f>IF(W5="","",IF(X5="",IF(NOW()&gt;W5,"En retard","En attente"),IF(X5&lt;=W5,"À temps","En retard")))</f>
        <v/>
      </c>
      <c r="Z5" s="17" t="n"/>
      <c r="AA5" s="14">
        <f>IF($B5="","",IF(OR(T5="X",AD5&lt;&gt;""),0,MAX(0,MIN(Q5,'Critères et poids'!$C$38*INT((TODAY()-IF(Z5&lt;&gt;"",Z5,INT($A5)))/7)))))</f>
        <v/>
      </c>
      <c r="AB5" s="14">
        <f>IF($B5="","",MAX(0,S5-AA5))</f>
        <v/>
      </c>
      <c r="AC5" s="9">
        <f>IF($B5="","",IF(T5="X","X",IF(AB5&gt;='Critères et poids'!$C$29,"A",IF(AB5&gt;='Critères et poids'!$C$30,"B","C"))))</f>
        <v/>
      </c>
      <c r="AD5" s="4" t="inlineStr">
        <is>
          <t>Gagné</t>
        </is>
      </c>
      <c r="AE5" s="18" t="n">
        <v>7200</v>
      </c>
      <c r="AF5" s="6" t="n"/>
      <c r="AH5">
        <f>IF($A5="","",IF(OR(WEEKDAY($A5,2)&gt;5,ROUND(MOD($A5,1)*1440,0)&gt;=ROUND('Critères et poids'!$C$37*1440,0)),WORKDAY(INT($A5),1)+ROUND('Critères et poids'!$C$36*1440,0)/1440,IF(ROUND(MOD($A5,1)*1440,0)&lt;ROUND('Critères et poids'!$C$36*1440,0),INT($A5)+ROUND('Critères et poids'!$C$36*1440,0)/1440,$A5)))</f>
        <v/>
      </c>
      <c r="AI5">
        <f>IF(AH5="","",ROUND(MOD(AH5,1)*1440,0))</f>
        <v/>
      </c>
      <c r="AJ5">
        <f>IF(T5="","",INDEX('Critères et poids'!$E$29:$E$32,MATCH(T5,'Critères et poids'!$A$29:$A$32,0)))</f>
        <v/>
      </c>
      <c r="AL5" s="19" t="inlineStr">
        <is>
          <t>Clair</t>
        </is>
      </c>
      <c r="AM5" s="19" t="inlineStr">
        <is>
          <t>Chat du site</t>
        </is>
      </c>
      <c r="AN5" s="19" t="inlineStr">
        <is>
          <t>Gagné</t>
        </is>
      </c>
    </row>
    <row r="6">
      <c r="A6" s="13" t="n">
        <v>46266.76388888889</v>
      </c>
      <c r="B6" s="6" t="inlineStr">
        <is>
          <t>Luis O.</t>
        </is>
      </c>
      <c r="C6" s="6" t="inlineStr">
        <is>
          <t>Ortega Tile &amp; Stone</t>
        </is>
      </c>
      <c r="D6" s="4" t="inlineStr">
        <is>
          <t>Formulaire web</t>
        </is>
      </c>
      <c r="E6" s="4" t="inlineStr">
        <is>
          <t>Clair</t>
        </is>
      </c>
      <c r="F6" s="4" t="inlineStr">
        <is>
          <t>Clair</t>
        </is>
      </c>
      <c r="G6" s="4" t="inlineStr">
        <is>
          <t>Partiel</t>
        </is>
      </c>
      <c r="H6" s="4" t="inlineStr">
        <is>
          <t>Partiel</t>
        </is>
      </c>
      <c r="I6" s="4" t="inlineStr">
        <is>
          <t>Clair</t>
        </is>
      </c>
      <c r="J6" s="4" t="inlineStr">
        <is>
          <t>Non mentionné</t>
        </is>
      </c>
      <c r="K6" s="4" t="inlineStr">
        <is>
          <t>Partiel</t>
        </is>
      </c>
      <c r="L6" s="4" t="inlineStr">
        <is>
          <t>Partiel</t>
        </is>
      </c>
      <c r="M6" s="4" t="inlineStr">
        <is>
          <t>Non mentionné</t>
        </is>
      </c>
      <c r="N6" s="6" t="n"/>
      <c r="O6" s="6" t="n"/>
      <c r="P6" s="14">
        <f>IF($B6="","",(E6="Clair")*'Critères et poids'!$G$5+(E6="Partiel")*'Critères et poids'!$G$5/2+(F6="Clair")*'Critères et poids'!$G$6+(F6="Partiel")*'Critères et poids'!$G$6/2+(G6="Clair")*'Critères et poids'!$G$7+(G6="Partiel")*'Critères et poids'!$G$7/2+(H6="Clair")*'Critères et poids'!$G$8+(H6="Partiel")*'Critères et poids'!$G$8/2)</f>
        <v/>
      </c>
      <c r="Q6" s="14">
        <f>IF($B6="","",(I6="Clair")*'Critères et poids'!$G$9+(I6="Partiel")*'Critères et poids'!$G$9/2+(J6="Clair")*'Critères et poids'!$G$10+(J6="Partiel")*'Critères et poids'!$G$10/2+(K6="Clair")*'Critères et poids'!$G$11+(K6="Partiel")*'Critères et poids'!$G$11/2+(L6="Clair")*'Critères et poids'!$G$12+(L6="Partiel")*'Critères et poids'!$G$12/2+(M6="Clair")*'Critères et poids'!$G$13+(M6="Partiel")*'Critères et poids'!$G$13/2)</f>
        <v/>
      </c>
      <c r="R6" s="14">
        <f>IF($B6="","",IFERROR(VLOOKUP(N6,'Critères et poids'!$B$17:$C$20,2,FALSE),0))</f>
        <v/>
      </c>
      <c r="S6" s="9">
        <f>IF($B6="","",MAX(0,P6+Q6+R6))</f>
        <v/>
      </c>
      <c r="T6" s="9">
        <f>IF($B6="","",IF(O6&lt;&gt;"","X",IF(S6&gt;='Critères et poids'!$C$29,"A",IF(S6&gt;='Critères et poids'!$C$30,"B","C"))))</f>
        <v/>
      </c>
      <c r="U6" s="14">
        <f>IF(T6="","",INDEX('Critères et poids'!$D$29:$D$32,MATCH(T6,'Critères et poids'!$A$29:$A$32,0)))</f>
        <v/>
      </c>
      <c r="V6" s="14">
        <f>IF(T6="","",INDEX('Critères et poids'!$F$29:$F$32,MATCH(T6,'Critères et poids'!$A$29:$A$32,0)))</f>
        <v/>
      </c>
      <c r="W6" s="15">
        <f>IF(OR(AH6="",AJ6=""),"",IF(AI6+AJ6*60&lt;=ROUND('Critères et poids'!$C$37*1440,0),INT(AH6)+(AI6+AJ6*60)/1440,WORKDAY(INT(AH6),1+INT((AI6+AJ6*60-ROUND('Critères et poids'!$C$37*1440,0)-1)/(ROUND('Critères et poids'!$C$37*1440,0)-ROUND('Critères et poids'!$C$36*1440,0))))+(ROUND('Critères et poids'!$C$36*1440,0)+AI6+AJ6*60-ROUND('Critères et poids'!$C$37*1440,0)-INT((AI6+AJ6*60-ROUND('Critères et poids'!$C$37*1440,0)-1)/(ROUND('Critères et poids'!$C$37*1440,0)-ROUND('Critères et poids'!$C$36*1440,0)))*(ROUND('Critères et poids'!$C$37*1440,0)-ROUND('Critères et poids'!$C$36*1440,0)))/1440))</f>
        <v/>
      </c>
      <c r="X6" s="16" t="n">
        <v>46267.39583333334</v>
      </c>
      <c r="Y6" s="14">
        <f>IF(W6="","",IF(X6="",IF(NOW()&gt;W6,"En retard","En attente"),IF(X6&lt;=W6,"À temps","En retard")))</f>
        <v/>
      </c>
      <c r="Z6" s="17" t="n"/>
      <c r="AA6" s="14">
        <f>IF($B6="","",IF(OR(T6="X",AD6&lt;&gt;""),0,MAX(0,MIN(Q6,'Critères et poids'!$C$38*INT((TODAY()-IF(Z6&lt;&gt;"",Z6,INT($A6)))/7)))))</f>
        <v/>
      </c>
      <c r="AB6" s="14">
        <f>IF($B6="","",MAX(0,S6-AA6))</f>
        <v/>
      </c>
      <c r="AC6" s="9">
        <f>IF($B6="","",IF(T6="X","X",IF(AB6&gt;='Critères et poids'!$C$29,"A",IF(AB6&gt;='Critères et poids'!$C$30,"B","C"))))</f>
        <v/>
      </c>
      <c r="AD6" s="4" t="inlineStr">
        <is>
          <t>Perdu</t>
        </is>
      </c>
      <c r="AE6" s="18" t="n"/>
      <c r="AF6" s="6" t="inlineStr">
        <is>
          <t>Arrivé hors horaires : décompte lancé mercredi à 9 h</t>
        </is>
      </c>
      <c r="AH6">
        <f>IF($A6="","",IF(OR(WEEKDAY($A6,2)&gt;5,ROUND(MOD($A6,1)*1440,0)&gt;=ROUND('Critères et poids'!$C$37*1440,0)),WORKDAY(INT($A6),1)+ROUND('Critères et poids'!$C$36*1440,0)/1440,IF(ROUND(MOD($A6,1)*1440,0)&lt;ROUND('Critères et poids'!$C$36*1440,0),INT($A6)+ROUND('Critères et poids'!$C$36*1440,0)/1440,$A6)))</f>
        <v/>
      </c>
      <c r="AI6">
        <f>IF(AH6="","",ROUND(MOD(AH6,1)*1440,0))</f>
        <v/>
      </c>
      <c r="AJ6">
        <f>IF(T6="","",INDEX('Critères et poids'!$E$29:$E$32,MATCH(T6,'Critères et poids'!$A$29:$A$32,0)))</f>
        <v/>
      </c>
      <c r="AL6" s="19" t="inlineStr">
        <is>
          <t>Partiel</t>
        </is>
      </c>
      <c r="AM6" s="19" t="inlineStr">
        <is>
          <t>Formulaire web</t>
        </is>
      </c>
      <c r="AN6" s="19" t="inlineStr">
        <is>
          <t>Perdu</t>
        </is>
      </c>
    </row>
    <row r="7">
      <c r="A7" s="13" t="n">
        <v>46267.46180555555</v>
      </c>
      <c r="B7" s="6" t="inlineStr">
        <is>
          <t>Amy C.</t>
        </is>
      </c>
      <c r="C7" s="6" t="inlineStr">
        <is>
          <t>Brightline Tutoring</t>
        </is>
      </c>
      <c r="D7" s="4" t="inlineStr">
        <is>
          <t>Chat du site</t>
        </is>
      </c>
      <c r="E7" s="4" t="inlineStr">
        <is>
          <t>Partiel</t>
        </is>
      </c>
      <c r="F7" s="4" t="inlineStr">
        <is>
          <t>Clair</t>
        </is>
      </c>
      <c r="G7" s="4" t="inlineStr">
        <is>
          <t>Clair</t>
        </is>
      </c>
      <c r="H7" s="4" t="inlineStr">
        <is>
          <t>Non mentionné</t>
        </is>
      </c>
      <c r="I7" s="4" t="inlineStr">
        <is>
          <t>Partiel</t>
        </is>
      </c>
      <c r="J7" s="4" t="inlineStr">
        <is>
          <t>Non mentionné</t>
        </is>
      </c>
      <c r="K7" s="4" t="inlineStr">
        <is>
          <t>Non mentionné</t>
        </is>
      </c>
      <c r="L7" s="4" t="inlineStr">
        <is>
          <t>Partiel</t>
        </is>
      </c>
      <c r="M7" s="4" t="inlineStr">
        <is>
          <t>Non mentionné</t>
        </is>
      </c>
      <c r="N7" s="6" t="n"/>
      <c r="O7" s="6" t="n"/>
      <c r="P7" s="14">
        <f>IF($B7="","",(E7="Clair")*'Critères et poids'!$G$5+(E7="Partiel")*'Critères et poids'!$G$5/2+(F7="Clair")*'Critères et poids'!$G$6+(F7="Partiel")*'Critères et poids'!$G$6/2+(G7="Clair")*'Critères et poids'!$G$7+(G7="Partiel")*'Critères et poids'!$G$7/2+(H7="Clair")*'Critères et poids'!$G$8+(H7="Partiel")*'Critères et poids'!$G$8/2)</f>
        <v/>
      </c>
      <c r="Q7" s="14">
        <f>IF($B7="","",(I7="Clair")*'Critères et poids'!$G$9+(I7="Partiel")*'Critères et poids'!$G$9/2+(J7="Clair")*'Critères et poids'!$G$10+(J7="Partiel")*'Critères et poids'!$G$10/2+(K7="Clair")*'Critères et poids'!$G$11+(K7="Partiel")*'Critères et poids'!$G$11/2+(L7="Clair")*'Critères et poids'!$G$12+(L7="Partiel")*'Critères et poids'!$G$12/2+(M7="Clair")*'Critères et poids'!$G$13+(M7="Partiel")*'Critères et poids'!$G$13/2)</f>
        <v/>
      </c>
      <c r="R7" s="14">
        <f>IF($B7="","",IFERROR(VLOOKUP(N7,'Critères et poids'!$B$17:$C$20,2,FALSE),0))</f>
        <v/>
      </c>
      <c r="S7" s="9">
        <f>IF($B7="","",MAX(0,P7+Q7+R7))</f>
        <v/>
      </c>
      <c r="T7" s="9">
        <f>IF($B7="","",IF(O7&lt;&gt;"","X",IF(S7&gt;='Critères et poids'!$C$29,"A",IF(S7&gt;='Critères et poids'!$C$30,"B","C"))))</f>
        <v/>
      </c>
      <c r="U7" s="14">
        <f>IF(T7="","",INDEX('Critères et poids'!$D$29:$D$32,MATCH(T7,'Critères et poids'!$A$29:$A$32,0)))</f>
        <v/>
      </c>
      <c r="V7" s="14">
        <f>IF(T7="","",INDEX('Critères et poids'!$F$29:$F$32,MATCH(T7,'Critères et poids'!$A$29:$A$32,0)))</f>
        <v/>
      </c>
      <c r="W7" s="15">
        <f>IF(OR(AH7="",AJ7=""),"",IF(AI7+AJ7*60&lt;=ROUND('Critères et poids'!$C$37*1440,0),INT(AH7)+(AI7+AJ7*60)/1440,WORKDAY(INT(AH7),1+INT((AI7+AJ7*60-ROUND('Critères et poids'!$C$37*1440,0)-1)/(ROUND('Critères et poids'!$C$37*1440,0)-ROUND('Critères et poids'!$C$36*1440,0))))+(ROUND('Critères et poids'!$C$36*1440,0)+AI7+AJ7*60-ROUND('Critères et poids'!$C$37*1440,0)-INT((AI7+AJ7*60-ROUND('Critères et poids'!$C$37*1440,0)-1)/(ROUND('Critères et poids'!$C$37*1440,0)-ROUND('Critères et poids'!$C$36*1440,0)))*(ROUND('Critères et poids'!$C$37*1440,0)-ROUND('Critères et poids'!$C$36*1440,0)))/1440))</f>
        <v/>
      </c>
      <c r="X7" s="16" t="n">
        <v>46268.41666666666</v>
      </c>
      <c r="Y7" s="14">
        <f>IF(W7="","",IF(X7="",IF(NOW()&gt;W7,"En retard","En attente"),IF(X7&lt;=W7,"À temps","En retard")))</f>
        <v/>
      </c>
      <c r="Z7" s="17" t="n"/>
      <c r="AA7" s="14">
        <f>IF($B7="","",IF(OR(T7="X",AD7&lt;&gt;""),0,MAX(0,MIN(Q7,'Critères et poids'!$C$38*INT((TODAY()-IF(Z7&lt;&gt;"",Z7,INT($A7)))/7)))))</f>
        <v/>
      </c>
      <c r="AB7" s="14">
        <f>IF($B7="","",MAX(0,S7-AA7))</f>
        <v/>
      </c>
      <c r="AC7" s="9">
        <f>IF($B7="","",IF(T7="X","X",IF(AB7&gt;='Critères et poids'!$C$29,"A",IF(AB7&gt;='Critères et poids'!$C$30,"B","C"))))</f>
        <v/>
      </c>
      <c r="AD7" s="4" t="inlineStr">
        <is>
          <t>Perdu</t>
        </is>
      </c>
      <c r="AE7" s="18" t="n"/>
      <c r="AF7" s="6" t="n"/>
      <c r="AH7">
        <f>IF($A7="","",IF(OR(WEEKDAY($A7,2)&gt;5,ROUND(MOD($A7,1)*1440,0)&gt;=ROUND('Critères et poids'!$C$37*1440,0)),WORKDAY(INT($A7),1)+ROUND('Critères et poids'!$C$36*1440,0)/1440,IF(ROUND(MOD($A7,1)*1440,0)&lt;ROUND('Critères et poids'!$C$36*1440,0),INT($A7)+ROUND('Critères et poids'!$C$36*1440,0)/1440,$A7)))</f>
        <v/>
      </c>
      <c r="AI7">
        <f>IF(AH7="","",ROUND(MOD(AH7,1)*1440,0))</f>
        <v/>
      </c>
      <c r="AJ7">
        <f>IF(T7="","",INDEX('Critères et poids'!$E$29:$E$32,MATCH(T7,'Critères et poids'!$A$29:$A$32,0)))</f>
        <v/>
      </c>
      <c r="AL7" s="19" t="inlineStr">
        <is>
          <t>Non mentionné</t>
        </is>
      </c>
      <c r="AM7" s="19" t="inlineStr">
        <is>
          <t>Téléphone</t>
        </is>
      </c>
    </row>
    <row r="8">
      <c r="A8" s="13" t="n">
        <v>46268.425</v>
      </c>
      <c r="B8" s="6" t="inlineStr">
        <is>
          <t>Jordan P.</t>
        </is>
      </c>
      <c r="C8" s="6" t="n"/>
      <c r="D8" s="4" t="inlineStr">
        <is>
          <t>Chat du site</t>
        </is>
      </c>
      <c r="E8" s="4" t="inlineStr">
        <is>
          <t>Non mentionné</t>
        </is>
      </c>
      <c r="F8" s="4" t="inlineStr">
        <is>
          <t>Non mentionné</t>
        </is>
      </c>
      <c r="G8" s="4" t="inlineStr">
        <is>
          <t>Non mentionné</t>
        </is>
      </c>
      <c r="H8" s="4" t="inlineStr">
        <is>
          <t>Non mentionné</t>
        </is>
      </c>
      <c r="I8" s="4" t="inlineStr">
        <is>
          <t>Non mentionné</t>
        </is>
      </c>
      <c r="J8" s="4" t="inlineStr">
        <is>
          <t>Non mentionné</t>
        </is>
      </c>
      <c r="K8" s="4" t="inlineStr">
        <is>
          <t>Non mentionné</t>
        </is>
      </c>
      <c r="L8" s="4" t="inlineStr">
        <is>
          <t>Non mentionné</t>
        </is>
      </c>
      <c r="M8" s="4" t="inlineStr">
        <is>
          <t>Non mentionné</t>
        </is>
      </c>
      <c r="N8" s="6" t="n"/>
      <c r="O8" s="6" t="inlineStr">
        <is>
          <t>Pas un acheteur : candidat à un emploi, fournisseur, concurrent, spam</t>
        </is>
      </c>
      <c r="P8" s="14">
        <f>IF($B8="","",(E8="Clair")*'Critères et poids'!$G$5+(E8="Partiel")*'Critères et poids'!$G$5/2+(F8="Clair")*'Critères et poids'!$G$6+(F8="Partiel")*'Critères et poids'!$G$6/2+(G8="Clair")*'Critères et poids'!$G$7+(G8="Partiel")*'Critères et poids'!$G$7/2+(H8="Clair")*'Critères et poids'!$G$8+(H8="Partiel")*'Critères et poids'!$G$8/2)</f>
        <v/>
      </c>
      <c r="Q8" s="14">
        <f>IF($B8="","",(I8="Clair")*'Critères et poids'!$G$9+(I8="Partiel")*'Critères et poids'!$G$9/2+(J8="Clair")*'Critères et poids'!$G$10+(J8="Partiel")*'Critères et poids'!$G$10/2+(K8="Clair")*'Critères et poids'!$G$11+(K8="Partiel")*'Critères et poids'!$G$11/2+(L8="Clair")*'Critères et poids'!$G$12+(L8="Partiel")*'Critères et poids'!$G$12/2+(M8="Clair")*'Critères et poids'!$G$13+(M8="Partiel")*'Critères et poids'!$G$13/2)</f>
        <v/>
      </c>
      <c r="R8" s="14">
        <f>IF($B8="","",IFERROR(VLOOKUP(N8,'Critères et poids'!$B$17:$C$20,2,FALSE),0))</f>
        <v/>
      </c>
      <c r="S8" s="9">
        <f>IF($B8="","",MAX(0,P8+Q8+R8))</f>
        <v/>
      </c>
      <c r="T8" s="9">
        <f>IF($B8="","",IF(O8&lt;&gt;"","X",IF(S8&gt;='Critères et poids'!$C$29,"A",IF(S8&gt;='Critères et poids'!$C$30,"B","C"))))</f>
        <v/>
      </c>
      <c r="U8" s="14">
        <f>IF(T8="","",INDEX('Critères et poids'!$D$29:$D$32,MATCH(T8,'Critères et poids'!$A$29:$A$32,0)))</f>
        <v/>
      </c>
      <c r="V8" s="14">
        <f>IF(T8="","",INDEX('Critères et poids'!$F$29:$F$32,MATCH(T8,'Critères et poids'!$A$29:$A$32,0)))</f>
        <v/>
      </c>
      <c r="W8" s="15">
        <f>IF(OR(AH8="",AJ8=""),"",IF(AI8+AJ8*60&lt;=ROUND('Critères et poids'!$C$37*1440,0),INT(AH8)+(AI8+AJ8*60)/1440,WORKDAY(INT(AH8),1+INT((AI8+AJ8*60-ROUND('Critères et poids'!$C$37*1440,0)-1)/(ROUND('Critères et poids'!$C$37*1440,0)-ROUND('Critères et poids'!$C$36*1440,0))))+(ROUND('Critères et poids'!$C$36*1440,0)+AI8+AJ8*60-ROUND('Critères et poids'!$C$37*1440,0)-INT((AI8+AJ8*60-ROUND('Critères et poids'!$C$37*1440,0)-1)/(ROUND('Critères et poids'!$C$37*1440,0)-ROUND('Critères et poids'!$C$36*1440,0)))*(ROUND('Critères et poids'!$C$37*1440,0)-ROUND('Critères et poids'!$C$36*1440,0)))/1440))</f>
        <v/>
      </c>
      <c r="X8" s="16" t="n">
        <v>46269.39583333334</v>
      </c>
      <c r="Y8" s="14">
        <f>IF(W8="","",IF(X8="",IF(NOW()&gt;W8,"En retard","En attente"),IF(X8&lt;=W8,"À temps","En retard")))</f>
        <v/>
      </c>
      <c r="Z8" s="17" t="n"/>
      <c r="AA8" s="14">
        <f>IF($B8="","",IF(OR(T8="X",AD8&lt;&gt;""),0,MAX(0,MIN(Q8,'Critères et poids'!$C$38*INT((TODAY()-IF(Z8&lt;&gt;"",Z8,INT($A8)))/7)))))</f>
        <v/>
      </c>
      <c r="AB8" s="14">
        <f>IF($B8="","",MAX(0,S8-AA8))</f>
        <v/>
      </c>
      <c r="AC8" s="9">
        <f>IF($B8="","",IF(T8="X","X",IF(AB8&gt;='Critères et poids'!$C$29,"A",IF(AB8&gt;='Critères et poids'!$C$30,"B","C"))))</f>
        <v/>
      </c>
      <c r="AD8" s="4" t="n"/>
      <c r="AE8" s="18" t="n"/>
      <c r="AF8" s="6" t="inlineStr">
        <is>
          <t>Candidat à un emploi</t>
        </is>
      </c>
      <c r="AH8">
        <f>IF($A8="","",IF(OR(WEEKDAY($A8,2)&gt;5,ROUND(MOD($A8,1)*1440,0)&gt;=ROUND('Critères et poids'!$C$37*1440,0)),WORKDAY(INT($A8),1)+ROUND('Critères et poids'!$C$36*1440,0)/1440,IF(ROUND(MOD($A8,1)*1440,0)&lt;ROUND('Critères et poids'!$C$36*1440,0),INT($A8)+ROUND('Critères et poids'!$C$36*1440,0)/1440,$A8)))</f>
        <v/>
      </c>
      <c r="AI8">
        <f>IF(AH8="","",ROUND(MOD(AH8,1)*1440,0))</f>
        <v/>
      </c>
      <c r="AJ8">
        <f>IF(T8="","",INDEX('Critères et poids'!$E$29:$E$32,MATCH(T8,'Critères et poids'!$A$29:$A$32,0)))</f>
        <v/>
      </c>
      <c r="AM8" s="19" t="inlineStr">
        <is>
          <t>Recommandation</t>
        </is>
      </c>
    </row>
    <row r="9">
      <c r="A9" s="13" t="n">
        <v>46268.60416666666</v>
      </c>
      <c r="B9" s="6" t="inlineStr">
        <is>
          <t>Victor H.</t>
        </is>
      </c>
      <c r="C9" s="6" t="inlineStr">
        <is>
          <t>Hale Freight Brokers</t>
        </is>
      </c>
      <c r="D9" s="4" t="inlineStr">
        <is>
          <t>Téléphone</t>
        </is>
      </c>
      <c r="E9" s="4" t="inlineStr">
        <is>
          <t>Clair</t>
        </is>
      </c>
      <c r="F9" s="4" t="inlineStr">
        <is>
          <t>Clair</t>
        </is>
      </c>
      <c r="G9" s="4" t="inlineStr">
        <is>
          <t>Clair</t>
        </is>
      </c>
      <c r="H9" s="4" t="inlineStr">
        <is>
          <t>Partiel</t>
        </is>
      </c>
      <c r="I9" s="4" t="inlineStr">
        <is>
          <t>Clair</t>
        </is>
      </c>
      <c r="J9" s="4" t="inlineStr">
        <is>
          <t>Clair</t>
        </is>
      </c>
      <c r="K9" s="4" t="inlineStr">
        <is>
          <t>Clair</t>
        </is>
      </c>
      <c r="L9" s="4" t="inlineStr">
        <is>
          <t>Clair</t>
        </is>
      </c>
      <c r="M9" s="4" t="inlineStr">
        <is>
          <t>Clair</t>
        </is>
      </c>
      <c r="N9" s="6" t="n"/>
      <c r="O9" s="6" t="n"/>
      <c r="P9" s="14">
        <f>IF($B9="","",(E9="Clair")*'Critères et poids'!$G$5+(E9="Partiel")*'Critères et poids'!$G$5/2+(F9="Clair")*'Critères et poids'!$G$6+(F9="Partiel")*'Critères et poids'!$G$6/2+(G9="Clair")*'Critères et poids'!$G$7+(G9="Partiel")*'Critères et poids'!$G$7/2+(H9="Clair")*'Critères et poids'!$G$8+(H9="Partiel")*'Critères et poids'!$G$8/2)</f>
        <v/>
      </c>
      <c r="Q9" s="14">
        <f>IF($B9="","",(I9="Clair")*'Critères et poids'!$G$9+(I9="Partiel")*'Critères et poids'!$G$9/2+(J9="Clair")*'Critères et poids'!$G$10+(J9="Partiel")*'Critères et poids'!$G$10/2+(K9="Clair")*'Critères et poids'!$G$11+(K9="Partiel")*'Critères et poids'!$G$11/2+(L9="Clair")*'Critères et poids'!$G$12+(L9="Partiel")*'Critères et poids'!$G$12/2+(M9="Clair")*'Critères et poids'!$G$13+(M9="Partiel")*'Critères et poids'!$G$13/2)</f>
        <v/>
      </c>
      <c r="R9" s="14">
        <f>IF($B9="","",IFERROR(VLOOKUP(N9,'Critères et poids'!$B$17:$C$20,2,FALSE),0))</f>
        <v/>
      </c>
      <c r="S9" s="9">
        <f>IF($B9="","",MAX(0,P9+Q9+R9))</f>
        <v/>
      </c>
      <c r="T9" s="9">
        <f>IF($B9="","",IF(O9&lt;&gt;"","X",IF(S9&gt;='Critères et poids'!$C$29,"A",IF(S9&gt;='Critères et poids'!$C$30,"B","C"))))</f>
        <v/>
      </c>
      <c r="U9" s="14">
        <f>IF(T9="","",INDEX('Critères et poids'!$D$29:$D$32,MATCH(T9,'Critères et poids'!$A$29:$A$32,0)))</f>
        <v/>
      </c>
      <c r="V9" s="14">
        <f>IF(T9="","",INDEX('Critères et poids'!$F$29:$F$32,MATCH(T9,'Critères et poids'!$A$29:$A$32,0)))</f>
        <v/>
      </c>
      <c r="W9" s="15">
        <f>IF(OR(AH9="",AJ9=""),"",IF(AI9+AJ9*60&lt;=ROUND('Critères et poids'!$C$37*1440,0),INT(AH9)+(AI9+AJ9*60)/1440,WORKDAY(INT(AH9),1+INT((AI9+AJ9*60-ROUND('Critères et poids'!$C$37*1440,0)-1)/(ROUND('Critères et poids'!$C$37*1440,0)-ROUND('Critères et poids'!$C$36*1440,0))))+(ROUND('Critères et poids'!$C$36*1440,0)+AI9+AJ9*60-ROUND('Critères et poids'!$C$37*1440,0)-INT((AI9+AJ9*60-ROUND('Critères et poids'!$C$37*1440,0)-1)/(ROUND('Critères et poids'!$C$37*1440,0)-ROUND('Critères et poids'!$C$36*1440,0)))*(ROUND('Critères et poids'!$C$37*1440,0)-ROUND('Critères et poids'!$C$36*1440,0)))/1440))</f>
        <v/>
      </c>
      <c r="X9" s="16" t="n">
        <v>46268.61944444444</v>
      </c>
      <c r="Y9" s="14">
        <f>IF(W9="","",IF(X9="",IF(NOW()&gt;W9,"En retard","En attente"),IF(X9&lt;=W9,"À temps","En retard")))</f>
        <v/>
      </c>
      <c r="Z9" s="17" t="n"/>
      <c r="AA9" s="14">
        <f>IF($B9="","",IF(OR(T9="X",AD9&lt;&gt;""),0,MAX(0,MIN(Q9,'Critères et poids'!$C$38*INT((TODAY()-IF(Z9&lt;&gt;"",Z9,INT($A9)))/7)))))</f>
        <v/>
      </c>
      <c r="AB9" s="14">
        <f>IF($B9="","",MAX(0,S9-AA9))</f>
        <v/>
      </c>
      <c r="AC9" s="9">
        <f>IF($B9="","",IF(T9="X","X",IF(AB9&gt;='Critères et poids'!$C$29,"A",IF(AB9&gt;='Critères et poids'!$C$30,"B","C"))))</f>
        <v/>
      </c>
      <c r="AD9" s="4" t="inlineStr">
        <is>
          <t>Gagné</t>
        </is>
      </c>
      <c r="AE9" s="18" t="n">
        <v>9600</v>
      </c>
      <c r="AF9" s="6" t="n"/>
      <c r="AH9">
        <f>IF($A9="","",IF(OR(WEEKDAY($A9,2)&gt;5,ROUND(MOD($A9,1)*1440,0)&gt;=ROUND('Critères et poids'!$C$37*1440,0)),WORKDAY(INT($A9),1)+ROUND('Critères et poids'!$C$36*1440,0)/1440,IF(ROUND(MOD($A9,1)*1440,0)&lt;ROUND('Critères et poids'!$C$36*1440,0),INT($A9)+ROUND('Critères et poids'!$C$36*1440,0)/1440,$A9)))</f>
        <v/>
      </c>
      <c r="AI9">
        <f>IF(AH9="","",ROUND(MOD(AH9,1)*1440,0))</f>
        <v/>
      </c>
      <c r="AJ9">
        <f>IF(T9="","",INDEX('Critères et poids'!$E$29:$E$32,MATCH(T9,'Critères et poids'!$A$29:$A$32,0)))</f>
        <v/>
      </c>
      <c r="AM9" s="19" t="inlineStr">
        <is>
          <t>E-mail</t>
        </is>
      </c>
    </row>
    <row r="10">
      <c r="A10" s="13" t="n">
        <v>46273.38541666666</v>
      </c>
      <c r="B10" s="6" t="inlineStr">
        <is>
          <t>Grace L.</t>
        </is>
      </c>
      <c r="C10" s="6" t="inlineStr">
        <is>
          <t>Foothill Physio</t>
        </is>
      </c>
      <c r="D10" s="4" t="inlineStr">
        <is>
          <t>Chat du site</t>
        </is>
      </c>
      <c r="E10" s="4" t="inlineStr">
        <is>
          <t>Clair</t>
        </is>
      </c>
      <c r="F10" s="4" t="inlineStr">
        <is>
          <t>Clair</t>
        </is>
      </c>
      <c r="G10" s="4" t="inlineStr">
        <is>
          <t>Clair</t>
        </is>
      </c>
      <c r="H10" s="4" t="inlineStr">
        <is>
          <t>Clair</t>
        </is>
      </c>
      <c r="I10" s="4" t="inlineStr">
        <is>
          <t>Clair</t>
        </is>
      </c>
      <c r="J10" s="4" t="inlineStr">
        <is>
          <t>Clair</t>
        </is>
      </c>
      <c r="K10" s="4" t="inlineStr">
        <is>
          <t>Partiel</t>
        </is>
      </c>
      <c r="L10" s="4" t="inlineStr">
        <is>
          <t>Partiel</t>
        </is>
      </c>
      <c r="M10" s="4" t="inlineStr">
        <is>
          <t>Clair</t>
        </is>
      </c>
      <c r="N10" s="6" t="n"/>
      <c r="O10" s="6" t="n"/>
      <c r="P10" s="14">
        <f>IF($B10="","",(E10="Clair")*'Critères et poids'!$G$5+(E10="Partiel")*'Critères et poids'!$G$5/2+(F10="Clair")*'Critères et poids'!$G$6+(F10="Partiel")*'Critères et poids'!$G$6/2+(G10="Clair")*'Critères et poids'!$G$7+(G10="Partiel")*'Critères et poids'!$G$7/2+(H10="Clair")*'Critères et poids'!$G$8+(H10="Partiel")*'Critères et poids'!$G$8/2)</f>
        <v/>
      </c>
      <c r="Q10" s="14">
        <f>IF($B10="","",(I10="Clair")*'Critères et poids'!$G$9+(I10="Partiel")*'Critères et poids'!$G$9/2+(J10="Clair")*'Critères et poids'!$G$10+(J10="Partiel")*'Critères et poids'!$G$10/2+(K10="Clair")*'Critères et poids'!$G$11+(K10="Partiel")*'Critères et poids'!$G$11/2+(L10="Clair")*'Critères et poids'!$G$12+(L10="Partiel")*'Critères et poids'!$G$12/2+(M10="Clair")*'Critères et poids'!$G$13+(M10="Partiel")*'Critères et poids'!$G$13/2)</f>
        <v/>
      </c>
      <c r="R10" s="14">
        <f>IF($B10="","",IFERROR(VLOOKUP(N10,'Critères et poids'!$B$17:$C$20,2,FALSE),0))</f>
        <v/>
      </c>
      <c r="S10" s="9">
        <f>IF($B10="","",MAX(0,P10+Q10+R10))</f>
        <v/>
      </c>
      <c r="T10" s="9">
        <f>IF($B10="","",IF(O10&lt;&gt;"","X",IF(S10&gt;='Critères et poids'!$C$29,"A",IF(S10&gt;='Critères et poids'!$C$30,"B","C"))))</f>
        <v/>
      </c>
      <c r="U10" s="14">
        <f>IF(T10="","",INDEX('Critères et poids'!$D$29:$D$32,MATCH(T10,'Critères et poids'!$A$29:$A$32,0)))</f>
        <v/>
      </c>
      <c r="V10" s="14">
        <f>IF(T10="","",INDEX('Critères et poids'!$F$29:$F$32,MATCH(T10,'Critères et poids'!$A$29:$A$32,0)))</f>
        <v/>
      </c>
      <c r="W10" s="15">
        <f>IF(OR(AH10="",AJ10=""),"",IF(AI10+AJ10*60&lt;=ROUND('Critères et poids'!$C$37*1440,0),INT(AH10)+(AI10+AJ10*60)/1440,WORKDAY(INT(AH10),1+INT((AI10+AJ10*60-ROUND('Critères et poids'!$C$37*1440,0)-1)/(ROUND('Critères et poids'!$C$37*1440,0)-ROUND('Critères et poids'!$C$36*1440,0))))+(ROUND('Critères et poids'!$C$36*1440,0)+AI10+AJ10*60-ROUND('Critères et poids'!$C$37*1440,0)-INT((AI10+AJ10*60-ROUND('Critères et poids'!$C$37*1440,0)-1)/(ROUND('Critères et poids'!$C$37*1440,0)-ROUND('Critères et poids'!$C$36*1440,0)))*(ROUND('Critères et poids'!$C$37*1440,0)-ROUND('Critères et poids'!$C$36*1440,0)))/1440))</f>
        <v/>
      </c>
      <c r="X10" s="16" t="n">
        <v>46273.39652777778</v>
      </c>
      <c r="Y10" s="14">
        <f>IF(W10="","",IF(X10="",IF(NOW()&gt;W10,"En retard","En attente"),IF(X10&lt;=W10,"À temps","En retard")))</f>
        <v/>
      </c>
      <c r="Z10" s="17" t="n"/>
      <c r="AA10" s="14">
        <f>IF($B10="","",IF(OR(T10="X",AD10&lt;&gt;""),0,MAX(0,MIN(Q10,'Critères et poids'!$C$38*INT((TODAY()-IF(Z10&lt;&gt;"",Z10,INT($A10)))/7)))))</f>
        <v/>
      </c>
      <c r="AB10" s="14">
        <f>IF($B10="","",MAX(0,S10-AA10))</f>
        <v/>
      </c>
      <c r="AC10" s="9">
        <f>IF($B10="","",IF(T10="X","X",IF(AB10&gt;='Critères et poids'!$C$29,"A",IF(AB10&gt;='Critères et poids'!$C$30,"B","C"))))</f>
        <v/>
      </c>
      <c r="AD10" s="4" t="inlineStr">
        <is>
          <t>Gagné</t>
        </is>
      </c>
      <c r="AE10" s="18" t="n">
        <v>6000</v>
      </c>
      <c r="AF10" s="6" t="n"/>
      <c r="AH10">
        <f>IF($A10="","",IF(OR(WEEKDAY($A10,2)&gt;5,ROUND(MOD($A10,1)*1440,0)&gt;=ROUND('Critères et poids'!$C$37*1440,0)),WORKDAY(INT($A10),1)+ROUND('Critères et poids'!$C$36*1440,0)/1440,IF(ROUND(MOD($A10,1)*1440,0)&lt;ROUND('Critères et poids'!$C$36*1440,0),INT($A10)+ROUND('Critères et poids'!$C$36*1440,0)/1440,$A10)))</f>
        <v/>
      </c>
      <c r="AI10">
        <f>IF(AH10="","",ROUND(MOD(AH10,1)*1440,0))</f>
        <v/>
      </c>
      <c r="AJ10">
        <f>IF(T10="","",INDEX('Critères et poids'!$E$29:$E$32,MATCH(T10,'Critères et poids'!$A$29:$A$32,0)))</f>
        <v/>
      </c>
    </row>
    <row r="11">
      <c r="A11" s="13" t="n">
        <v>46273.70138888889</v>
      </c>
      <c r="B11" s="6" t="inlineStr">
        <is>
          <t>Owen M.</t>
        </is>
      </c>
      <c r="C11" s="6" t="inlineStr">
        <is>
          <t>Marsh Electric</t>
        </is>
      </c>
      <c r="D11" s="4" t="inlineStr">
        <is>
          <t>Formulaire web</t>
        </is>
      </c>
      <c r="E11" s="4" t="inlineStr">
        <is>
          <t>Clair</t>
        </is>
      </c>
      <c r="F11" s="4" t="inlineStr">
        <is>
          <t>Clair</t>
        </is>
      </c>
      <c r="G11" s="4" t="inlineStr">
        <is>
          <t>Clair</t>
        </is>
      </c>
      <c r="H11" s="4" t="inlineStr">
        <is>
          <t>Partiel</t>
        </is>
      </c>
      <c r="I11" s="4" t="inlineStr">
        <is>
          <t>Clair</t>
        </is>
      </c>
      <c r="J11" s="4" t="inlineStr">
        <is>
          <t>Partiel</t>
        </is>
      </c>
      <c r="K11" s="4" t="inlineStr">
        <is>
          <t>Non mentionné</t>
        </is>
      </c>
      <c r="L11" s="4" t="inlineStr">
        <is>
          <t>Partiel</t>
        </is>
      </c>
      <c r="M11" s="4" t="inlineStr">
        <is>
          <t>Non mentionné</t>
        </is>
      </c>
      <c r="N11" s="6" t="n"/>
      <c r="O11" s="6" t="n"/>
      <c r="P11" s="14">
        <f>IF($B11="","",(E11="Clair")*'Critères et poids'!$G$5+(E11="Partiel")*'Critères et poids'!$G$5/2+(F11="Clair")*'Critères et poids'!$G$6+(F11="Partiel")*'Critères et poids'!$G$6/2+(G11="Clair")*'Critères et poids'!$G$7+(G11="Partiel")*'Critères et poids'!$G$7/2+(H11="Clair")*'Critères et poids'!$G$8+(H11="Partiel")*'Critères et poids'!$G$8/2)</f>
        <v/>
      </c>
      <c r="Q11" s="14">
        <f>IF($B11="","",(I11="Clair")*'Critères et poids'!$G$9+(I11="Partiel")*'Critères et poids'!$G$9/2+(J11="Clair")*'Critères et poids'!$G$10+(J11="Partiel")*'Critères et poids'!$G$10/2+(K11="Clair")*'Critères et poids'!$G$11+(K11="Partiel")*'Critères et poids'!$G$11/2+(L11="Clair")*'Critères et poids'!$G$12+(L11="Partiel")*'Critères et poids'!$G$12/2+(M11="Clair")*'Critères et poids'!$G$13+(M11="Partiel")*'Critères et poids'!$G$13/2)</f>
        <v/>
      </c>
      <c r="R11" s="14">
        <f>IF($B11="","",IFERROR(VLOOKUP(N11,'Critères et poids'!$B$17:$C$20,2,FALSE),0))</f>
        <v/>
      </c>
      <c r="S11" s="9">
        <f>IF($B11="","",MAX(0,P11+Q11+R11))</f>
        <v/>
      </c>
      <c r="T11" s="9">
        <f>IF($B11="","",IF(O11&lt;&gt;"","X",IF(S11&gt;='Critères et poids'!$C$29,"A",IF(S11&gt;='Critères et poids'!$C$30,"B","C"))))</f>
        <v/>
      </c>
      <c r="U11" s="14">
        <f>IF(T11="","",INDEX('Critères et poids'!$D$29:$D$32,MATCH(T11,'Critères et poids'!$A$29:$A$32,0)))</f>
        <v/>
      </c>
      <c r="V11" s="14">
        <f>IF(T11="","",INDEX('Critères et poids'!$F$29:$F$32,MATCH(T11,'Critères et poids'!$A$29:$A$32,0)))</f>
        <v/>
      </c>
      <c r="W11" s="15">
        <f>IF(OR(AH11="",AJ11=""),"",IF(AI11+AJ11*60&lt;=ROUND('Critères et poids'!$C$37*1440,0),INT(AH11)+(AI11+AJ11*60)/1440,WORKDAY(INT(AH11),1+INT((AI11+AJ11*60-ROUND('Critères et poids'!$C$37*1440,0)-1)/(ROUND('Critères et poids'!$C$37*1440,0)-ROUND('Critères et poids'!$C$36*1440,0))))+(ROUND('Critères et poids'!$C$36*1440,0)+AI11+AJ11*60-ROUND('Critères et poids'!$C$37*1440,0)-INT((AI11+AJ11*60-ROUND('Critères et poids'!$C$37*1440,0)-1)/(ROUND('Critères et poids'!$C$37*1440,0)-ROUND('Critères et poids'!$C$36*1440,0)))*(ROUND('Critères et poids'!$C$37*1440,0)-ROUND('Critères et poids'!$C$36*1440,0)))/1440))</f>
        <v/>
      </c>
      <c r="X11" s="16" t="n">
        <v>46274.38888888889</v>
      </c>
      <c r="Y11" s="14">
        <f>IF(W11="","",IF(X11="",IF(NOW()&gt;W11,"En retard","En attente"),IF(X11&lt;=W11,"À temps","En retard")))</f>
        <v/>
      </c>
      <c r="Z11" s="17" t="n"/>
      <c r="AA11" s="14">
        <f>IF($B11="","",IF(OR(T11="X",AD11&lt;&gt;""),0,MAX(0,MIN(Q11,'Critères et poids'!$C$38*INT((TODAY()-IF(Z11&lt;&gt;"",Z11,INT($A11)))/7)))))</f>
        <v/>
      </c>
      <c r="AB11" s="14">
        <f>IF($B11="","",MAX(0,S11-AA11))</f>
        <v/>
      </c>
      <c r="AC11" s="9">
        <f>IF($B11="","",IF(T11="X","X",IF(AB11&gt;='Critères et poids'!$C$29,"A",IF(AB11&gt;='Critères et poids'!$C$30,"B","C"))))</f>
        <v/>
      </c>
      <c r="AD11" s="4" t="inlineStr">
        <is>
          <t>Gagné</t>
        </is>
      </c>
      <c r="AE11" s="18" t="n">
        <v>5400</v>
      </c>
      <c r="AF11" s="6" t="n"/>
      <c r="AH11">
        <f>IF($A11="","",IF(OR(WEEKDAY($A11,2)&gt;5,ROUND(MOD($A11,1)*1440,0)&gt;=ROUND('Critères et poids'!$C$37*1440,0)),WORKDAY(INT($A11),1)+ROUND('Critères et poids'!$C$36*1440,0)/1440,IF(ROUND(MOD($A11,1)*1440,0)&lt;ROUND('Critères et poids'!$C$36*1440,0),INT($A11)+ROUND('Critères et poids'!$C$36*1440,0)/1440,$A11)))</f>
        <v/>
      </c>
      <c r="AI11">
        <f>IF(AH11="","",ROUND(MOD(AH11,1)*1440,0))</f>
        <v/>
      </c>
      <c r="AJ11">
        <f>IF(T11="","",INDEX('Critères et poids'!$E$29:$E$32,MATCH(T11,'Critères et poids'!$A$29:$A$32,0)))</f>
        <v/>
      </c>
    </row>
    <row r="12">
      <c r="A12" s="13" t="n">
        <v>46274.55555555555</v>
      </c>
      <c r="B12" s="6" t="inlineStr">
        <is>
          <t>Priya N.</t>
        </is>
      </c>
      <c r="C12" s="6" t="inlineStr">
        <is>
          <t>Nair Design Studio</t>
        </is>
      </c>
      <c r="D12" s="4" t="inlineStr">
        <is>
          <t>Chat du site</t>
        </is>
      </c>
      <c r="E12" s="4" t="inlineStr">
        <is>
          <t>Partiel</t>
        </is>
      </c>
      <c r="F12" s="4" t="inlineStr">
        <is>
          <t>Partiel</t>
        </is>
      </c>
      <c r="G12" s="4" t="inlineStr">
        <is>
          <t>Clair</t>
        </is>
      </c>
      <c r="H12" s="4" t="inlineStr">
        <is>
          <t>Clair</t>
        </is>
      </c>
      <c r="I12" s="4" t="inlineStr">
        <is>
          <t>Partiel</t>
        </is>
      </c>
      <c r="J12" s="4" t="inlineStr">
        <is>
          <t>Non mentionné</t>
        </is>
      </c>
      <c r="K12" s="4" t="inlineStr">
        <is>
          <t>Non mentionné</t>
        </is>
      </c>
      <c r="L12" s="4" t="inlineStr">
        <is>
          <t>Clair</t>
        </is>
      </c>
      <c r="M12" s="4" t="inlineStr">
        <is>
          <t>Non mentionné</t>
        </is>
      </c>
      <c r="N12" s="6" t="inlineStr">
        <is>
          <t>Début dans plus de 6 mois</t>
        </is>
      </c>
      <c r="O12" s="6" t="n"/>
      <c r="P12" s="14">
        <f>IF($B12="","",(E12="Clair")*'Critères et poids'!$G$5+(E12="Partiel")*'Critères et poids'!$G$5/2+(F12="Clair")*'Critères et poids'!$G$6+(F12="Partiel")*'Critères et poids'!$G$6/2+(G12="Clair")*'Critères et poids'!$G$7+(G12="Partiel")*'Critères et poids'!$G$7/2+(H12="Clair")*'Critères et poids'!$G$8+(H12="Partiel")*'Critères et poids'!$G$8/2)</f>
        <v/>
      </c>
      <c r="Q12" s="14">
        <f>IF($B12="","",(I12="Clair")*'Critères et poids'!$G$9+(I12="Partiel")*'Critères et poids'!$G$9/2+(J12="Clair")*'Critères et poids'!$G$10+(J12="Partiel")*'Critères et poids'!$G$10/2+(K12="Clair")*'Critères et poids'!$G$11+(K12="Partiel")*'Critères et poids'!$G$11/2+(L12="Clair")*'Critères et poids'!$G$12+(L12="Partiel")*'Critères et poids'!$G$12/2+(M12="Clair")*'Critères et poids'!$G$13+(M12="Partiel")*'Critères et poids'!$G$13/2)</f>
        <v/>
      </c>
      <c r="R12" s="14">
        <f>IF($B12="","",IFERROR(VLOOKUP(N12,'Critères et poids'!$B$17:$C$20,2,FALSE),0))</f>
        <v/>
      </c>
      <c r="S12" s="9">
        <f>IF($B12="","",MAX(0,P12+Q12+R12))</f>
        <v/>
      </c>
      <c r="T12" s="9">
        <f>IF($B12="","",IF(O12&lt;&gt;"","X",IF(S12&gt;='Critères et poids'!$C$29,"A",IF(S12&gt;='Critères et poids'!$C$30,"B","C"))))</f>
        <v/>
      </c>
      <c r="U12" s="14">
        <f>IF(T12="","",INDEX('Critères et poids'!$D$29:$D$32,MATCH(T12,'Critères et poids'!$A$29:$A$32,0)))</f>
        <v/>
      </c>
      <c r="V12" s="14">
        <f>IF(T12="","",INDEX('Critères et poids'!$F$29:$F$32,MATCH(T12,'Critères et poids'!$A$29:$A$32,0)))</f>
        <v/>
      </c>
      <c r="W12" s="15">
        <f>IF(OR(AH12="",AJ12=""),"",IF(AI12+AJ12*60&lt;=ROUND('Critères et poids'!$C$37*1440,0),INT(AH12)+(AI12+AJ12*60)/1440,WORKDAY(INT(AH12),1+INT((AI12+AJ12*60-ROUND('Critères et poids'!$C$37*1440,0)-1)/(ROUND('Critères et poids'!$C$37*1440,0)-ROUND('Critères et poids'!$C$36*1440,0))))+(ROUND('Critères et poids'!$C$36*1440,0)+AI12+AJ12*60-ROUND('Critères et poids'!$C$37*1440,0)-INT((AI12+AJ12*60-ROUND('Critères et poids'!$C$37*1440,0)-1)/(ROUND('Critères et poids'!$C$37*1440,0)-ROUND('Critères et poids'!$C$36*1440,0)))*(ROUND('Critères et poids'!$C$37*1440,0)-ROUND('Critères et poids'!$C$36*1440,0)))/1440))</f>
        <v/>
      </c>
      <c r="X12" s="16" t="n">
        <v>46275.45833333334</v>
      </c>
      <c r="Y12" s="14">
        <f>IF(W12="","",IF(X12="",IF(NOW()&gt;W12,"En retard","En attente"),IF(X12&lt;=W12,"À temps","En retard")))</f>
        <v/>
      </c>
      <c r="Z12" s="17" t="n"/>
      <c r="AA12" s="14">
        <f>IF($B12="","",IF(OR(T12="X",AD12&lt;&gt;""),0,MAX(0,MIN(Q12,'Critères et poids'!$C$38*INT((TODAY()-IF(Z12&lt;&gt;"",Z12,INT($A12)))/7)))))</f>
        <v/>
      </c>
      <c r="AB12" s="14">
        <f>IF($B12="","",MAX(0,S12-AA12))</f>
        <v/>
      </c>
      <c r="AC12" s="9">
        <f>IF($B12="","",IF(T12="X","X",IF(AB12&gt;='Critères et poids'!$C$29,"A",IF(AB12&gt;='Critères et poids'!$C$30,"B","C"))))</f>
        <v/>
      </c>
      <c r="AD12" s="4" t="inlineStr">
        <is>
          <t>Perdu</t>
        </is>
      </c>
      <c r="AE12" s="18" t="n"/>
      <c r="AF12" s="6" t="n"/>
      <c r="AH12">
        <f>IF($A12="","",IF(OR(WEEKDAY($A12,2)&gt;5,ROUND(MOD($A12,1)*1440,0)&gt;=ROUND('Critères et poids'!$C$37*1440,0)),WORKDAY(INT($A12),1)+ROUND('Critères et poids'!$C$36*1440,0)/1440,IF(ROUND(MOD($A12,1)*1440,0)&lt;ROUND('Critères et poids'!$C$36*1440,0),INT($A12)+ROUND('Critères et poids'!$C$36*1440,0)/1440,$A12)))</f>
        <v/>
      </c>
      <c r="AI12">
        <f>IF(AH12="","",ROUND(MOD(AH12,1)*1440,0))</f>
        <v/>
      </c>
      <c r="AJ12">
        <f>IF(T12="","",INDEX('Critères et poids'!$E$29:$E$32,MATCH(T12,'Critères et poids'!$A$29:$A$32,0)))</f>
        <v/>
      </c>
    </row>
    <row r="13">
      <c r="A13" s="13" t="n">
        <v>46275.35416666666</v>
      </c>
      <c r="B13" s="6" t="inlineStr">
        <is>
          <t>Sam R.</t>
        </is>
      </c>
      <c r="C13" s="6" t="inlineStr">
        <is>
          <t>Reyes Landscaping</t>
        </is>
      </c>
      <c r="D13" s="4" t="inlineStr">
        <is>
          <t>Téléphone</t>
        </is>
      </c>
      <c r="E13" s="4" t="inlineStr">
        <is>
          <t>Clair</t>
        </is>
      </c>
      <c r="F13" s="4" t="inlineStr">
        <is>
          <t>Clair</t>
        </is>
      </c>
      <c r="G13" s="4" t="inlineStr">
        <is>
          <t>Clair</t>
        </is>
      </c>
      <c r="H13" s="4" t="inlineStr">
        <is>
          <t>Non mentionné</t>
        </is>
      </c>
      <c r="I13" s="4" t="inlineStr">
        <is>
          <t>Clair</t>
        </is>
      </c>
      <c r="J13" s="4" t="inlineStr">
        <is>
          <t>Clair</t>
        </is>
      </c>
      <c r="K13" s="4" t="inlineStr">
        <is>
          <t>Partiel</t>
        </is>
      </c>
      <c r="L13" s="4" t="inlineStr">
        <is>
          <t>Clair</t>
        </is>
      </c>
      <c r="M13" s="4" t="inlineStr">
        <is>
          <t>Partiel</t>
        </is>
      </c>
      <c r="N13" s="6" t="n"/>
      <c r="O13" s="6" t="n"/>
      <c r="P13" s="14">
        <f>IF($B13="","",(E13="Clair")*'Critères et poids'!$G$5+(E13="Partiel")*'Critères et poids'!$G$5/2+(F13="Clair")*'Critères et poids'!$G$6+(F13="Partiel")*'Critères et poids'!$G$6/2+(G13="Clair")*'Critères et poids'!$G$7+(G13="Partiel")*'Critères et poids'!$G$7/2+(H13="Clair")*'Critères et poids'!$G$8+(H13="Partiel")*'Critères et poids'!$G$8/2)</f>
        <v/>
      </c>
      <c r="Q13" s="14">
        <f>IF($B13="","",(I13="Clair")*'Critères et poids'!$G$9+(I13="Partiel")*'Critères et poids'!$G$9/2+(J13="Clair")*'Critères et poids'!$G$10+(J13="Partiel")*'Critères et poids'!$G$10/2+(K13="Clair")*'Critères et poids'!$G$11+(K13="Partiel")*'Critères et poids'!$G$11/2+(L13="Clair")*'Critères et poids'!$G$12+(L13="Partiel")*'Critères et poids'!$G$12/2+(M13="Clair")*'Critères et poids'!$G$13+(M13="Partiel")*'Critères et poids'!$G$13/2)</f>
        <v/>
      </c>
      <c r="R13" s="14">
        <f>IF($B13="","",IFERROR(VLOOKUP(N13,'Critères et poids'!$B$17:$C$20,2,FALSE),0))</f>
        <v/>
      </c>
      <c r="S13" s="9">
        <f>IF($B13="","",MAX(0,P13+Q13+R13))</f>
        <v/>
      </c>
      <c r="T13" s="9">
        <f>IF($B13="","",IF(O13&lt;&gt;"","X",IF(S13&gt;='Critères et poids'!$C$29,"A",IF(S13&gt;='Critères et poids'!$C$30,"B","C"))))</f>
        <v/>
      </c>
      <c r="U13" s="14">
        <f>IF(T13="","",INDEX('Critères et poids'!$D$29:$D$32,MATCH(T13,'Critères et poids'!$A$29:$A$32,0)))</f>
        <v/>
      </c>
      <c r="V13" s="14">
        <f>IF(T13="","",INDEX('Critères et poids'!$F$29:$F$32,MATCH(T13,'Critères et poids'!$A$29:$A$32,0)))</f>
        <v/>
      </c>
      <c r="W13" s="15">
        <f>IF(OR(AH13="",AJ13=""),"",IF(AI13+AJ13*60&lt;=ROUND('Critères et poids'!$C$37*1440,0),INT(AH13)+(AI13+AJ13*60)/1440,WORKDAY(INT(AH13),1+INT((AI13+AJ13*60-ROUND('Critères et poids'!$C$37*1440,0)-1)/(ROUND('Critères et poids'!$C$37*1440,0)-ROUND('Critères et poids'!$C$36*1440,0))))+(ROUND('Critères et poids'!$C$36*1440,0)+AI13+AJ13*60-ROUND('Critères et poids'!$C$37*1440,0)-INT((AI13+AJ13*60-ROUND('Critères et poids'!$C$37*1440,0)-1)/(ROUND('Critères et poids'!$C$37*1440,0)-ROUND('Critères et poids'!$C$36*1440,0)))*(ROUND('Critères et poids'!$C$37*1440,0)-ROUND('Critères et poids'!$C$36*1440,0)))/1440))</f>
        <v/>
      </c>
      <c r="X13" s="16" t="n">
        <v>46275.38333333333</v>
      </c>
      <c r="Y13" s="14">
        <f>IF(W13="","",IF(X13="",IF(NOW()&gt;W13,"En retard","En attente"),IF(X13&lt;=W13,"À temps","En retard")))</f>
        <v/>
      </c>
      <c r="Z13" s="17" t="n"/>
      <c r="AA13" s="14">
        <f>IF($B13="","",IF(OR(T13="X",AD13&lt;&gt;""),0,MAX(0,MIN(Q13,'Critères et poids'!$C$38*INT((TODAY()-IF(Z13&lt;&gt;"",Z13,INT($A13)))/7)))))</f>
        <v/>
      </c>
      <c r="AB13" s="14">
        <f>IF($B13="","",MAX(0,S13-AA13))</f>
        <v/>
      </c>
      <c r="AC13" s="9">
        <f>IF($B13="","",IF(T13="X","X",IF(AB13&gt;='Critères et poids'!$C$29,"A",IF(AB13&gt;='Critères et poids'!$C$30,"B","C"))))</f>
        <v/>
      </c>
      <c r="AD13" s="4" t="inlineStr">
        <is>
          <t>Gagné</t>
        </is>
      </c>
      <c r="AE13" s="18" t="n">
        <v>5400</v>
      </c>
      <c r="AF13" s="6" t="inlineStr">
        <is>
          <t>Logiciel de bureau : passage à QuickBooks Online</t>
        </is>
      </c>
      <c r="AH13">
        <f>IF($A13="","",IF(OR(WEEKDAY($A13,2)&gt;5,ROUND(MOD($A13,1)*1440,0)&gt;=ROUND('Critères et poids'!$C$37*1440,0)),WORKDAY(INT($A13),1)+ROUND('Critères et poids'!$C$36*1440,0)/1440,IF(ROUND(MOD($A13,1)*1440,0)&lt;ROUND('Critères et poids'!$C$36*1440,0),INT($A13)+ROUND('Critères et poids'!$C$36*1440,0)/1440,$A13)))</f>
        <v/>
      </c>
      <c r="AI13">
        <f>IF(AH13="","",ROUND(MOD(AH13,1)*1440,0))</f>
        <v/>
      </c>
      <c r="AJ13">
        <f>IF(T13="","",INDEX('Critères et poids'!$E$29:$E$32,MATCH(T13,'Critères et poids'!$A$29:$A$32,0)))</f>
        <v/>
      </c>
    </row>
    <row r="14">
      <c r="A14" s="13" t="n">
        <v>46276.5</v>
      </c>
      <c r="B14" s="6" t="inlineStr">
        <is>
          <t>Elena P.</t>
        </is>
      </c>
      <c r="C14" s="6" t="inlineStr">
        <is>
          <t>Summit Yoga Co-op</t>
        </is>
      </c>
      <c r="D14" s="4" t="inlineStr">
        <is>
          <t>Chat du site</t>
        </is>
      </c>
      <c r="E14" s="4" t="inlineStr">
        <is>
          <t>Partiel</t>
        </is>
      </c>
      <c r="F14" s="4" t="inlineStr">
        <is>
          <t>Clair</t>
        </is>
      </c>
      <c r="G14" s="4" t="inlineStr">
        <is>
          <t>Clair</t>
        </is>
      </c>
      <c r="H14" s="4" t="inlineStr">
        <is>
          <t>Clair</t>
        </is>
      </c>
      <c r="I14" s="4" t="inlineStr">
        <is>
          <t>Partiel</t>
        </is>
      </c>
      <c r="J14" s="4" t="inlineStr">
        <is>
          <t>Partiel</t>
        </is>
      </c>
      <c r="K14" s="4" t="inlineStr">
        <is>
          <t>Non mentionné</t>
        </is>
      </c>
      <c r="L14" s="4" t="inlineStr">
        <is>
          <t>Partiel</t>
        </is>
      </c>
      <c r="M14" s="4" t="inlineStr">
        <is>
          <t>Partiel</t>
        </is>
      </c>
      <c r="N14" s="6" t="n"/>
      <c r="O14" s="6" t="n"/>
      <c r="P14" s="14">
        <f>IF($B14="","",(E14="Clair")*'Critères et poids'!$G$5+(E14="Partiel")*'Critères et poids'!$G$5/2+(F14="Clair")*'Critères et poids'!$G$6+(F14="Partiel")*'Critères et poids'!$G$6/2+(G14="Clair")*'Critères et poids'!$G$7+(G14="Partiel")*'Critères et poids'!$G$7/2+(H14="Clair")*'Critères et poids'!$G$8+(H14="Partiel")*'Critères et poids'!$G$8/2)</f>
        <v/>
      </c>
      <c r="Q14" s="14">
        <f>IF($B14="","",(I14="Clair")*'Critères et poids'!$G$9+(I14="Partiel")*'Critères et poids'!$G$9/2+(J14="Clair")*'Critères et poids'!$G$10+(J14="Partiel")*'Critères et poids'!$G$10/2+(K14="Clair")*'Critères et poids'!$G$11+(K14="Partiel")*'Critères et poids'!$G$11/2+(L14="Clair")*'Critères et poids'!$G$12+(L14="Partiel")*'Critères et poids'!$G$12/2+(M14="Clair")*'Critères et poids'!$G$13+(M14="Partiel")*'Critères et poids'!$G$13/2)</f>
        <v/>
      </c>
      <c r="R14" s="14">
        <f>IF($B14="","",IFERROR(VLOOKUP(N14,'Critères et poids'!$B$17:$C$20,2,FALSE),0))</f>
        <v/>
      </c>
      <c r="S14" s="9">
        <f>IF($B14="","",MAX(0,P14+Q14+R14))</f>
        <v/>
      </c>
      <c r="T14" s="9">
        <f>IF($B14="","",IF(O14&lt;&gt;"","X",IF(S14&gt;='Critères et poids'!$C$29,"A",IF(S14&gt;='Critères et poids'!$C$30,"B","C"))))</f>
        <v/>
      </c>
      <c r="U14" s="14">
        <f>IF(T14="","",INDEX('Critères et poids'!$D$29:$D$32,MATCH(T14,'Critères et poids'!$A$29:$A$32,0)))</f>
        <v/>
      </c>
      <c r="V14" s="14">
        <f>IF(T14="","",INDEX('Critères et poids'!$F$29:$F$32,MATCH(T14,'Critères et poids'!$A$29:$A$32,0)))</f>
        <v/>
      </c>
      <c r="W14" s="15">
        <f>IF(OR(AH14="",AJ14=""),"",IF(AI14+AJ14*60&lt;=ROUND('Critères et poids'!$C$37*1440,0),INT(AH14)+(AI14+AJ14*60)/1440,WORKDAY(INT(AH14),1+INT((AI14+AJ14*60-ROUND('Critères et poids'!$C$37*1440,0)-1)/(ROUND('Critères et poids'!$C$37*1440,0)-ROUND('Critères et poids'!$C$36*1440,0))))+(ROUND('Critères et poids'!$C$36*1440,0)+AI14+AJ14*60-ROUND('Critères et poids'!$C$37*1440,0)-INT((AI14+AJ14*60-ROUND('Critères et poids'!$C$37*1440,0)-1)/(ROUND('Critères et poids'!$C$37*1440,0)-ROUND('Critères et poids'!$C$36*1440,0)))*(ROUND('Critères et poids'!$C$37*1440,0)-ROUND('Critères et poids'!$C$36*1440,0)))/1440))</f>
        <v/>
      </c>
      <c r="X14" s="16" t="n">
        <v>46276.59027777778</v>
      </c>
      <c r="Y14" s="14">
        <f>IF(W14="","",IF(X14="",IF(NOW()&gt;W14,"En retard","En attente"),IF(X14&lt;=W14,"À temps","En retard")))</f>
        <v/>
      </c>
      <c r="Z14" s="17" t="n"/>
      <c r="AA14" s="14">
        <f>IF($B14="","",IF(OR(T14="X",AD14&lt;&gt;""),0,MAX(0,MIN(Q14,'Critères et poids'!$C$38*INT((TODAY()-IF(Z14&lt;&gt;"",Z14,INT($A14)))/7)))))</f>
        <v/>
      </c>
      <c r="AB14" s="14">
        <f>IF($B14="","",MAX(0,S14-AA14))</f>
        <v/>
      </c>
      <c r="AC14" s="9">
        <f>IF($B14="","",IF(T14="X","X",IF(AB14&gt;='Critères et poids'!$C$29,"A",IF(AB14&gt;='Critères et poids'!$C$30,"B","C"))))</f>
        <v/>
      </c>
      <c r="AD14" s="4" t="inlineStr">
        <is>
          <t>Perdu</t>
        </is>
      </c>
      <c r="AE14" s="18" t="n"/>
      <c r="AF14" s="6" t="n"/>
      <c r="AH14">
        <f>IF($A14="","",IF(OR(WEEKDAY($A14,2)&gt;5,ROUND(MOD($A14,1)*1440,0)&gt;=ROUND('Critères et poids'!$C$37*1440,0)),WORKDAY(INT($A14),1)+ROUND('Critères et poids'!$C$36*1440,0)/1440,IF(ROUND(MOD($A14,1)*1440,0)&lt;ROUND('Critères et poids'!$C$36*1440,0),INT($A14)+ROUND('Critères et poids'!$C$36*1440,0)/1440,$A14)))</f>
        <v/>
      </c>
      <c r="AI14">
        <f>IF(AH14="","",ROUND(MOD(AH14,1)*1440,0))</f>
        <v/>
      </c>
      <c r="AJ14">
        <f>IF(T14="","",INDEX('Critères et poids'!$E$29:$E$32,MATCH(T14,'Critères et poids'!$A$29:$A$32,0)))</f>
        <v/>
      </c>
    </row>
    <row r="15">
      <c r="A15" s="13" t="n">
        <v>46279.44791666666</v>
      </c>
      <c r="B15" s="6" t="inlineStr">
        <is>
          <t>Mark D.</t>
        </is>
      </c>
      <c r="C15" s="6" t="inlineStr">
        <is>
          <t>Dunn Auto Body</t>
        </is>
      </c>
      <c r="D15" s="4" t="inlineStr">
        <is>
          <t>Formulaire web</t>
        </is>
      </c>
      <c r="E15" s="4" t="inlineStr">
        <is>
          <t>Clair</t>
        </is>
      </c>
      <c r="F15" s="4" t="inlineStr">
        <is>
          <t>Clair</t>
        </is>
      </c>
      <c r="G15" s="4" t="inlineStr">
        <is>
          <t>Partiel</t>
        </is>
      </c>
      <c r="H15" s="4" t="inlineStr">
        <is>
          <t>Clair</t>
        </is>
      </c>
      <c r="I15" s="4" t="inlineStr">
        <is>
          <t>Clair</t>
        </is>
      </c>
      <c r="J15" s="4" t="inlineStr">
        <is>
          <t>Partiel</t>
        </is>
      </c>
      <c r="K15" s="4" t="inlineStr">
        <is>
          <t>Partiel</t>
        </is>
      </c>
      <c r="L15" s="4" t="inlineStr">
        <is>
          <t>Non mentionné</t>
        </is>
      </c>
      <c r="M15" s="4" t="inlineStr">
        <is>
          <t>Partiel</t>
        </is>
      </c>
      <c r="N15" s="6" t="n"/>
      <c r="O15" s="6" t="n"/>
      <c r="P15" s="14">
        <f>IF($B15="","",(E15="Clair")*'Critères et poids'!$G$5+(E15="Partiel")*'Critères et poids'!$G$5/2+(F15="Clair")*'Critères et poids'!$G$6+(F15="Partiel")*'Critères et poids'!$G$6/2+(G15="Clair")*'Critères et poids'!$G$7+(G15="Partiel")*'Critères et poids'!$G$7/2+(H15="Clair")*'Critères et poids'!$G$8+(H15="Partiel")*'Critères et poids'!$G$8/2)</f>
        <v/>
      </c>
      <c r="Q15" s="14">
        <f>IF($B15="","",(I15="Clair")*'Critères et poids'!$G$9+(I15="Partiel")*'Critères et poids'!$G$9/2+(J15="Clair")*'Critères et poids'!$G$10+(J15="Partiel")*'Critères et poids'!$G$10/2+(K15="Clair")*'Critères et poids'!$G$11+(K15="Partiel")*'Critères et poids'!$G$11/2+(L15="Clair")*'Critères et poids'!$G$12+(L15="Partiel")*'Critères et poids'!$G$12/2+(M15="Clair")*'Critères et poids'!$G$13+(M15="Partiel")*'Critères et poids'!$G$13/2)</f>
        <v/>
      </c>
      <c r="R15" s="14">
        <f>IF($B15="","",IFERROR(VLOOKUP(N15,'Critères et poids'!$B$17:$C$20,2,FALSE),0))</f>
        <v/>
      </c>
      <c r="S15" s="9">
        <f>IF($B15="","",MAX(0,P15+Q15+R15))</f>
        <v/>
      </c>
      <c r="T15" s="9">
        <f>IF($B15="","",IF(O15&lt;&gt;"","X",IF(S15&gt;='Critères et poids'!$C$29,"A",IF(S15&gt;='Critères et poids'!$C$30,"B","C"))))</f>
        <v/>
      </c>
      <c r="U15" s="14">
        <f>IF(T15="","",INDEX('Critères et poids'!$D$29:$D$32,MATCH(T15,'Critères et poids'!$A$29:$A$32,0)))</f>
        <v/>
      </c>
      <c r="V15" s="14">
        <f>IF(T15="","",INDEX('Critères et poids'!$F$29:$F$32,MATCH(T15,'Critères et poids'!$A$29:$A$32,0)))</f>
        <v/>
      </c>
      <c r="W15" s="15">
        <f>IF(OR(AH15="",AJ15=""),"",IF(AI15+AJ15*60&lt;=ROUND('Critères et poids'!$C$37*1440,0),INT(AH15)+(AI15+AJ15*60)/1440,WORKDAY(INT(AH15),1+INT((AI15+AJ15*60-ROUND('Critères et poids'!$C$37*1440,0)-1)/(ROUND('Critères et poids'!$C$37*1440,0)-ROUND('Critères et poids'!$C$36*1440,0))))+(ROUND('Critères et poids'!$C$36*1440,0)+AI15+AJ15*60-ROUND('Critères et poids'!$C$37*1440,0)-INT((AI15+AJ15*60-ROUND('Critères et poids'!$C$37*1440,0)-1)/(ROUND('Critères et poids'!$C$37*1440,0)-ROUND('Critères et poids'!$C$36*1440,0)))*(ROUND('Critères et poids'!$C$37*1440,0)-ROUND('Critères et poids'!$C$36*1440,0)))/1440))</f>
        <v/>
      </c>
      <c r="X15" s="16" t="n">
        <v>46279.5625</v>
      </c>
      <c r="Y15" s="14">
        <f>IF(W15="","",IF(X15="",IF(NOW()&gt;W15,"En retard","En attente"),IF(X15&lt;=W15,"À temps","En retard")))</f>
        <v/>
      </c>
      <c r="Z15" s="17" t="n"/>
      <c r="AA15" s="14">
        <f>IF($B15="","",IF(OR(T15="X",AD15&lt;&gt;""),0,MAX(0,MIN(Q15,'Critères et poids'!$C$38*INT((TODAY()-IF(Z15&lt;&gt;"",Z15,INT($A15)))/7)))))</f>
        <v/>
      </c>
      <c r="AB15" s="14">
        <f>IF($B15="","",MAX(0,S15-AA15))</f>
        <v/>
      </c>
      <c r="AC15" s="9">
        <f>IF($B15="","",IF(T15="X","X",IF(AB15&gt;='Critères et poids'!$C$29,"A",IF(AB15&gt;='Critères et poids'!$C$30,"B","C"))))</f>
        <v/>
      </c>
      <c r="AD15" s="4" t="inlineStr">
        <is>
          <t>Perdu</t>
        </is>
      </c>
      <c r="AE15" s="18" t="n"/>
      <c r="AF15" s="6" t="n"/>
      <c r="AH15">
        <f>IF($A15="","",IF(OR(WEEKDAY($A15,2)&gt;5,ROUND(MOD($A15,1)*1440,0)&gt;=ROUND('Critères et poids'!$C$37*1440,0)),WORKDAY(INT($A15),1)+ROUND('Critères et poids'!$C$36*1440,0)/1440,IF(ROUND(MOD($A15,1)*1440,0)&lt;ROUND('Critères et poids'!$C$36*1440,0),INT($A15)+ROUND('Critères et poids'!$C$36*1440,0)/1440,$A15)))</f>
        <v/>
      </c>
      <c r="AI15">
        <f>IF(AH15="","",ROUND(MOD(AH15,1)*1440,0))</f>
        <v/>
      </c>
      <c r="AJ15">
        <f>IF(T15="","",INDEX('Critères et poids'!$E$29:$E$32,MATCH(T15,'Critères et poids'!$A$29:$A$32,0)))</f>
        <v/>
      </c>
    </row>
    <row r="16">
      <c r="A16" s="13" t="n">
        <v>46279.63194444445</v>
      </c>
      <c r="B16" s="6" t="inlineStr">
        <is>
          <t>Tessa M.</t>
        </is>
      </c>
      <c r="C16" s="6" t="inlineStr">
        <is>
          <t>Moore &amp; Lane Law</t>
        </is>
      </c>
      <c r="D16" s="4" t="inlineStr">
        <is>
          <t>Recommandation</t>
        </is>
      </c>
      <c r="E16" s="4" t="inlineStr">
        <is>
          <t>Clair</t>
        </is>
      </c>
      <c r="F16" s="4" t="inlineStr">
        <is>
          <t>Clair</t>
        </is>
      </c>
      <c r="G16" s="4" t="inlineStr">
        <is>
          <t>Clair</t>
        </is>
      </c>
      <c r="H16" s="4" t="inlineStr">
        <is>
          <t>Clair</t>
        </is>
      </c>
      <c r="I16" s="4" t="inlineStr">
        <is>
          <t>Clair</t>
        </is>
      </c>
      <c r="J16" s="4" t="inlineStr">
        <is>
          <t>Clair</t>
        </is>
      </c>
      <c r="K16" s="4" t="inlineStr">
        <is>
          <t>Clair</t>
        </is>
      </c>
      <c r="L16" s="4" t="inlineStr">
        <is>
          <t>Clair</t>
        </is>
      </c>
      <c r="M16" s="4" t="inlineStr">
        <is>
          <t>Clair</t>
        </is>
      </c>
      <c r="N16" s="6" t="n"/>
      <c r="O16" s="6" t="n"/>
      <c r="P16" s="14">
        <f>IF($B16="","",(E16="Clair")*'Critères et poids'!$G$5+(E16="Partiel")*'Critères et poids'!$G$5/2+(F16="Clair")*'Critères et poids'!$G$6+(F16="Partiel")*'Critères et poids'!$G$6/2+(G16="Clair")*'Critères et poids'!$G$7+(G16="Partiel")*'Critères et poids'!$G$7/2+(H16="Clair")*'Critères et poids'!$G$8+(H16="Partiel")*'Critères et poids'!$G$8/2)</f>
        <v/>
      </c>
      <c r="Q16" s="14">
        <f>IF($B16="","",(I16="Clair")*'Critères et poids'!$G$9+(I16="Partiel")*'Critères et poids'!$G$9/2+(J16="Clair")*'Critères et poids'!$G$10+(J16="Partiel")*'Critères et poids'!$G$10/2+(K16="Clair")*'Critères et poids'!$G$11+(K16="Partiel")*'Critères et poids'!$G$11/2+(L16="Clair")*'Critères et poids'!$G$12+(L16="Partiel")*'Critères et poids'!$G$12/2+(M16="Clair")*'Critères et poids'!$G$13+(M16="Partiel")*'Critères et poids'!$G$13/2)</f>
        <v/>
      </c>
      <c r="R16" s="14">
        <f>IF($B16="","",IFERROR(VLOOKUP(N16,'Critères et poids'!$B$17:$C$20,2,FALSE),0))</f>
        <v/>
      </c>
      <c r="S16" s="9">
        <f>IF($B16="","",MAX(0,P16+Q16+R16))</f>
        <v/>
      </c>
      <c r="T16" s="9">
        <f>IF($B16="","",IF(O16&lt;&gt;"","X",IF(S16&gt;='Critères et poids'!$C$29,"A",IF(S16&gt;='Critères et poids'!$C$30,"B","C"))))</f>
        <v/>
      </c>
      <c r="U16" s="14">
        <f>IF(T16="","",INDEX('Critères et poids'!$D$29:$D$32,MATCH(T16,'Critères et poids'!$A$29:$A$32,0)))</f>
        <v/>
      </c>
      <c r="V16" s="14">
        <f>IF(T16="","",INDEX('Critères et poids'!$F$29:$F$32,MATCH(T16,'Critères et poids'!$A$29:$A$32,0)))</f>
        <v/>
      </c>
      <c r="W16" s="15">
        <f>IF(OR(AH16="",AJ16=""),"",IF(AI16+AJ16*60&lt;=ROUND('Critères et poids'!$C$37*1440,0),INT(AH16)+(AI16+AJ16*60)/1440,WORKDAY(INT(AH16),1+INT((AI16+AJ16*60-ROUND('Critères et poids'!$C$37*1440,0)-1)/(ROUND('Critères et poids'!$C$37*1440,0)-ROUND('Critères et poids'!$C$36*1440,0))))+(ROUND('Critères et poids'!$C$36*1440,0)+AI16+AJ16*60-ROUND('Critères et poids'!$C$37*1440,0)-INT((AI16+AJ16*60-ROUND('Critères et poids'!$C$37*1440,0)-1)/(ROUND('Critères et poids'!$C$37*1440,0)-ROUND('Critères et poids'!$C$36*1440,0)))*(ROUND('Critères et poids'!$C$37*1440,0)-ROUND('Critères et poids'!$C$36*1440,0)))/1440))</f>
        <v/>
      </c>
      <c r="X16" s="16" t="n">
        <v>46279.65277777778</v>
      </c>
      <c r="Y16" s="14">
        <f>IF(W16="","",IF(X16="",IF(NOW()&gt;W16,"En retard","En attente"),IF(X16&lt;=W16,"À temps","En retard")))</f>
        <v/>
      </c>
      <c r="Z16" s="17" t="n"/>
      <c r="AA16" s="14">
        <f>IF($B16="","",IF(OR(T16="X",AD16&lt;&gt;""),0,MAX(0,MIN(Q16,'Critères et poids'!$C$38*INT((TODAY()-IF(Z16&lt;&gt;"",Z16,INT($A16)))/7)))))</f>
        <v/>
      </c>
      <c r="AB16" s="14">
        <f>IF($B16="","",MAX(0,S16-AA16))</f>
        <v/>
      </c>
      <c r="AC16" s="9">
        <f>IF($B16="","",IF(T16="X","X",IF(AB16&gt;='Critères et poids'!$C$29,"A",IF(AB16&gt;='Critères et poids'!$C$30,"B","C"))))</f>
        <v/>
      </c>
      <c r="AD16" s="4" t="inlineStr">
        <is>
          <t>Gagné</t>
        </is>
      </c>
      <c r="AE16" s="18" t="n">
        <v>8400</v>
      </c>
      <c r="AF16" s="6" t="n"/>
      <c r="AH16">
        <f>IF($A16="","",IF(OR(WEEKDAY($A16,2)&gt;5,ROUND(MOD($A16,1)*1440,0)&gt;=ROUND('Critères et poids'!$C$37*1440,0)),WORKDAY(INT($A16),1)+ROUND('Critères et poids'!$C$36*1440,0)/1440,IF(ROUND(MOD($A16,1)*1440,0)&lt;ROUND('Critères et poids'!$C$36*1440,0),INT($A16)+ROUND('Critères et poids'!$C$36*1440,0)/1440,$A16)))</f>
        <v/>
      </c>
      <c r="AI16">
        <f>IF(AH16="","",ROUND(MOD(AH16,1)*1440,0))</f>
        <v/>
      </c>
      <c r="AJ16">
        <f>IF(T16="","",INDEX('Critères et poids'!$E$29:$E$32,MATCH(T16,'Critères et poids'!$A$29:$A$32,0)))</f>
        <v/>
      </c>
    </row>
    <row r="17">
      <c r="A17" s="13" t="n">
        <v>46280.40972222222</v>
      </c>
      <c r="B17" s="6" t="inlineStr">
        <is>
          <t>Kevin B.</t>
        </is>
      </c>
      <c r="C17" s="6" t="inlineStr">
        <is>
          <t>Bright Pixel Media</t>
        </is>
      </c>
      <c r="D17" s="4" t="inlineStr">
        <is>
          <t>Chat du site</t>
        </is>
      </c>
      <c r="E17" s="4" t="inlineStr">
        <is>
          <t>Partiel</t>
        </is>
      </c>
      <c r="F17" s="4" t="inlineStr">
        <is>
          <t>Partiel</t>
        </is>
      </c>
      <c r="G17" s="4" t="inlineStr">
        <is>
          <t>Clair</t>
        </is>
      </c>
      <c r="H17" s="4" t="inlineStr">
        <is>
          <t>Clair</t>
        </is>
      </c>
      <c r="I17" s="4" t="inlineStr">
        <is>
          <t>Partiel</t>
        </is>
      </c>
      <c r="J17" s="4" t="inlineStr">
        <is>
          <t>Non mentionné</t>
        </is>
      </c>
      <c r="K17" s="4" t="inlineStr">
        <is>
          <t>Non mentionné</t>
        </is>
      </c>
      <c r="L17" s="4" t="inlineStr">
        <is>
          <t>Partiel</t>
        </is>
      </c>
      <c r="M17" s="4" t="inlineStr">
        <is>
          <t>Non mentionné</t>
        </is>
      </c>
      <c r="N17" s="6" t="inlineStr">
        <is>
          <t>Début dans plus de 6 mois</t>
        </is>
      </c>
      <c r="O17" s="6" t="n"/>
      <c r="P17" s="14">
        <f>IF($B17="","",(E17="Clair")*'Critères et poids'!$G$5+(E17="Partiel")*'Critères et poids'!$G$5/2+(F17="Clair")*'Critères et poids'!$G$6+(F17="Partiel")*'Critères et poids'!$G$6/2+(G17="Clair")*'Critères et poids'!$G$7+(G17="Partiel")*'Critères et poids'!$G$7/2+(H17="Clair")*'Critères et poids'!$G$8+(H17="Partiel")*'Critères et poids'!$G$8/2)</f>
        <v/>
      </c>
      <c r="Q17" s="14">
        <f>IF($B17="","",(I17="Clair")*'Critères et poids'!$G$9+(I17="Partiel")*'Critères et poids'!$G$9/2+(J17="Clair")*'Critères et poids'!$G$10+(J17="Partiel")*'Critères et poids'!$G$10/2+(K17="Clair")*'Critères et poids'!$G$11+(K17="Partiel")*'Critères et poids'!$G$11/2+(L17="Clair")*'Critères et poids'!$G$12+(L17="Partiel")*'Critères et poids'!$G$12/2+(M17="Clair")*'Critères et poids'!$G$13+(M17="Partiel")*'Critères et poids'!$G$13/2)</f>
        <v/>
      </c>
      <c r="R17" s="14">
        <f>IF($B17="","",IFERROR(VLOOKUP(N17,'Critères et poids'!$B$17:$C$20,2,FALSE),0))</f>
        <v/>
      </c>
      <c r="S17" s="9">
        <f>IF($B17="","",MAX(0,P17+Q17+R17))</f>
        <v/>
      </c>
      <c r="T17" s="9">
        <f>IF($B17="","",IF(O17&lt;&gt;"","X",IF(S17&gt;='Critères et poids'!$C$29,"A",IF(S17&gt;='Critères et poids'!$C$30,"B","C"))))</f>
        <v/>
      </c>
      <c r="U17" s="14">
        <f>IF(T17="","",INDEX('Critères et poids'!$D$29:$D$32,MATCH(T17,'Critères et poids'!$A$29:$A$32,0)))</f>
        <v/>
      </c>
      <c r="V17" s="14">
        <f>IF(T17="","",INDEX('Critères et poids'!$F$29:$F$32,MATCH(T17,'Critères et poids'!$A$29:$A$32,0)))</f>
        <v/>
      </c>
      <c r="W17" s="15">
        <f>IF(OR(AH17="",AJ17=""),"",IF(AI17+AJ17*60&lt;=ROUND('Critères et poids'!$C$37*1440,0),INT(AH17)+(AI17+AJ17*60)/1440,WORKDAY(INT(AH17),1+INT((AI17+AJ17*60-ROUND('Critères et poids'!$C$37*1440,0)-1)/(ROUND('Critères et poids'!$C$37*1440,0)-ROUND('Critères et poids'!$C$36*1440,0))))+(ROUND('Critères et poids'!$C$36*1440,0)+AI17+AJ17*60-ROUND('Critères et poids'!$C$37*1440,0)-INT((AI17+AJ17*60-ROUND('Critères et poids'!$C$37*1440,0)-1)/(ROUND('Critères et poids'!$C$37*1440,0)-ROUND('Critères et poids'!$C$36*1440,0)))*(ROUND('Critères et poids'!$C$37*1440,0)-ROUND('Critères et poids'!$C$36*1440,0)))/1440))</f>
        <v/>
      </c>
      <c r="X17" s="16" t="n">
        <v>46281.39583333334</v>
      </c>
      <c r="Y17" s="14">
        <f>IF(W17="","",IF(X17="",IF(NOW()&gt;W17,"En retard","En attente"),IF(X17&lt;=W17,"À temps","En retard")))</f>
        <v/>
      </c>
      <c r="Z17" s="17" t="n"/>
      <c r="AA17" s="14">
        <f>IF($B17="","",IF(OR(T17="X",AD17&lt;&gt;""),0,MAX(0,MIN(Q17,'Critères et poids'!$C$38*INT((TODAY()-IF(Z17&lt;&gt;"",Z17,INT($A17)))/7)))))</f>
        <v/>
      </c>
      <c r="AB17" s="14">
        <f>IF($B17="","",MAX(0,S17-AA17))</f>
        <v/>
      </c>
      <c r="AC17" s="9">
        <f>IF($B17="","",IF(T17="X","X",IF(AB17&gt;='Critères et poids'!$C$29,"A",IF(AB17&gt;='Critères et poids'!$C$30,"B","C"))))</f>
        <v/>
      </c>
      <c r="AD17" s="4" t="inlineStr">
        <is>
          <t>Perdu</t>
        </is>
      </c>
      <c r="AE17" s="18" t="n"/>
      <c r="AF17" s="6" t="n"/>
      <c r="AH17">
        <f>IF($A17="","",IF(OR(WEEKDAY($A17,2)&gt;5,ROUND(MOD($A17,1)*1440,0)&gt;=ROUND('Critères et poids'!$C$37*1440,0)),WORKDAY(INT($A17),1)+ROUND('Critères et poids'!$C$36*1440,0)/1440,IF(ROUND(MOD($A17,1)*1440,0)&lt;ROUND('Critères et poids'!$C$36*1440,0),INT($A17)+ROUND('Critères et poids'!$C$36*1440,0)/1440,$A17)))</f>
        <v/>
      </c>
      <c r="AI17">
        <f>IF(AH17="","",ROUND(MOD(AH17,1)*1440,0))</f>
        <v/>
      </c>
      <c r="AJ17">
        <f>IF(T17="","",INDEX('Critères et poids'!$E$29:$E$32,MATCH(T17,'Critères et poids'!$A$29:$A$32,0)))</f>
        <v/>
      </c>
    </row>
    <row r="18">
      <c r="A18" s="13" t="n">
        <v>46281.47916666666</v>
      </c>
      <c r="B18" s="6" t="inlineStr">
        <is>
          <t>Nadia K.</t>
        </is>
      </c>
      <c r="C18" s="6" t="n"/>
      <c r="D18" s="4" t="inlineStr">
        <is>
          <t>Chat du site</t>
        </is>
      </c>
      <c r="E18" s="4" t="inlineStr">
        <is>
          <t>Non mentionné</t>
        </is>
      </c>
      <c r="F18" s="4" t="inlineStr">
        <is>
          <t>Clair</t>
        </is>
      </c>
      <c r="G18" s="4" t="inlineStr">
        <is>
          <t>Non mentionné</t>
        </is>
      </c>
      <c r="H18" s="4" t="inlineStr">
        <is>
          <t>Non mentionné</t>
        </is>
      </c>
      <c r="I18" s="4" t="inlineStr">
        <is>
          <t>Non mentionné</t>
        </is>
      </c>
      <c r="J18" s="4" t="inlineStr">
        <is>
          <t>Non mentionné</t>
        </is>
      </c>
      <c r="K18" s="4" t="inlineStr">
        <is>
          <t>Non mentionné</t>
        </is>
      </c>
      <c r="L18" s="4" t="inlineStr">
        <is>
          <t>Non mentionné</t>
        </is>
      </c>
      <c r="M18" s="4" t="inlineStr">
        <is>
          <t>Non mentionné</t>
        </is>
      </c>
      <c r="N18" s="6" t="n"/>
      <c r="O18" s="6" t="inlineStr">
        <is>
          <t>Déclarations d’impôts personnelles uniquement</t>
        </is>
      </c>
      <c r="P18" s="14">
        <f>IF($B18="","",(E18="Clair")*'Critères et poids'!$G$5+(E18="Partiel")*'Critères et poids'!$G$5/2+(F18="Clair")*'Critères et poids'!$G$6+(F18="Partiel")*'Critères et poids'!$G$6/2+(G18="Clair")*'Critères et poids'!$G$7+(G18="Partiel")*'Critères et poids'!$G$7/2+(H18="Clair")*'Critères et poids'!$G$8+(H18="Partiel")*'Critères et poids'!$G$8/2)</f>
        <v/>
      </c>
      <c r="Q18" s="14">
        <f>IF($B18="","",(I18="Clair")*'Critères et poids'!$G$9+(I18="Partiel")*'Critères et poids'!$G$9/2+(J18="Clair")*'Critères et poids'!$G$10+(J18="Partiel")*'Critères et poids'!$G$10/2+(K18="Clair")*'Critères et poids'!$G$11+(K18="Partiel")*'Critères et poids'!$G$11/2+(L18="Clair")*'Critères et poids'!$G$12+(L18="Partiel")*'Critères et poids'!$G$12/2+(M18="Clair")*'Critères et poids'!$G$13+(M18="Partiel")*'Critères et poids'!$G$13/2)</f>
        <v/>
      </c>
      <c r="R18" s="14">
        <f>IF($B18="","",IFERROR(VLOOKUP(N18,'Critères et poids'!$B$17:$C$20,2,FALSE),0))</f>
        <v/>
      </c>
      <c r="S18" s="9">
        <f>IF($B18="","",MAX(0,P18+Q18+R18))</f>
        <v/>
      </c>
      <c r="T18" s="9">
        <f>IF($B18="","",IF(O18&lt;&gt;"","X",IF(S18&gt;='Critères et poids'!$C$29,"A",IF(S18&gt;='Critères et poids'!$C$30,"B","C"))))</f>
        <v/>
      </c>
      <c r="U18" s="14">
        <f>IF(T18="","",INDEX('Critères et poids'!$D$29:$D$32,MATCH(T18,'Critères et poids'!$A$29:$A$32,0)))</f>
        <v/>
      </c>
      <c r="V18" s="14">
        <f>IF(T18="","",INDEX('Critères et poids'!$F$29:$F$32,MATCH(T18,'Critères et poids'!$A$29:$A$32,0)))</f>
        <v/>
      </c>
      <c r="W18" s="15">
        <f>IF(OR(AH18="",AJ18=""),"",IF(AI18+AJ18*60&lt;=ROUND('Critères et poids'!$C$37*1440,0),INT(AH18)+(AI18+AJ18*60)/1440,WORKDAY(INT(AH18),1+INT((AI18+AJ18*60-ROUND('Critères et poids'!$C$37*1440,0)-1)/(ROUND('Critères et poids'!$C$37*1440,0)-ROUND('Critères et poids'!$C$36*1440,0))))+(ROUND('Critères et poids'!$C$36*1440,0)+AI18+AJ18*60-ROUND('Critères et poids'!$C$37*1440,0)-INT((AI18+AJ18*60-ROUND('Critères et poids'!$C$37*1440,0)-1)/(ROUND('Critères et poids'!$C$37*1440,0)-ROUND('Critères et poids'!$C$36*1440,0)))*(ROUND('Critères et poids'!$C$37*1440,0)-ROUND('Critères et poids'!$C$36*1440,0)))/1440))</f>
        <v/>
      </c>
      <c r="X18" s="16" t="n">
        <v>46282.38541666666</v>
      </c>
      <c r="Y18" s="14">
        <f>IF(W18="","",IF(X18="",IF(NOW()&gt;W18,"En retard","En attente"),IF(X18&lt;=W18,"À temps","En retard")))</f>
        <v/>
      </c>
      <c r="Z18" s="17" t="n"/>
      <c r="AA18" s="14">
        <f>IF($B18="","",IF(OR(T18="X",AD18&lt;&gt;""),0,MAX(0,MIN(Q18,'Critères et poids'!$C$38*INT((TODAY()-IF(Z18&lt;&gt;"",Z18,INT($A18)))/7)))))</f>
        <v/>
      </c>
      <c r="AB18" s="14">
        <f>IF($B18="","",MAX(0,S18-AA18))</f>
        <v/>
      </c>
      <c r="AC18" s="9">
        <f>IF($B18="","",IF(T18="X","X",IF(AB18&gt;='Critères et poids'!$C$29,"A",IF(AB18&gt;='Critères et poids'!$C$30,"B","C"))))</f>
        <v/>
      </c>
      <c r="AD18" s="4" t="n"/>
      <c r="AE18" s="18" t="n"/>
      <c r="AF18" s="6" t="inlineStr">
        <is>
          <t>Déclaration d’impôts personnelle uniquement</t>
        </is>
      </c>
      <c r="AH18">
        <f>IF($A18="","",IF(OR(WEEKDAY($A18,2)&gt;5,ROUND(MOD($A18,1)*1440,0)&gt;=ROUND('Critères et poids'!$C$37*1440,0)),WORKDAY(INT($A18),1)+ROUND('Critères et poids'!$C$36*1440,0)/1440,IF(ROUND(MOD($A18,1)*1440,0)&lt;ROUND('Critères et poids'!$C$36*1440,0),INT($A18)+ROUND('Critères et poids'!$C$36*1440,0)/1440,$A18)))</f>
        <v/>
      </c>
      <c r="AI18">
        <f>IF(AH18="","",ROUND(MOD(AH18,1)*1440,0))</f>
        <v/>
      </c>
      <c r="AJ18">
        <f>IF(T18="","",INDEX('Critères et poids'!$E$29:$E$32,MATCH(T18,'Critères et poids'!$A$29:$A$32,0)))</f>
        <v/>
      </c>
    </row>
    <row r="19">
      <c r="A19" s="13" t="n">
        <v>46282.58680555555</v>
      </c>
      <c r="B19" s="6" t="inlineStr">
        <is>
          <t>Felix W.</t>
        </is>
      </c>
      <c r="C19" s="6" t="inlineStr">
        <is>
          <t>Wong Family Grocers</t>
        </is>
      </c>
      <c r="D19" s="4" t="inlineStr">
        <is>
          <t>Formulaire web</t>
        </is>
      </c>
      <c r="E19" s="4" t="inlineStr">
        <is>
          <t>Clair</t>
        </is>
      </c>
      <c r="F19" s="4" t="inlineStr">
        <is>
          <t>Clair</t>
        </is>
      </c>
      <c r="G19" s="4" t="inlineStr">
        <is>
          <t>Clair</t>
        </is>
      </c>
      <c r="H19" s="4" t="inlineStr">
        <is>
          <t>Non mentionné</t>
        </is>
      </c>
      <c r="I19" s="4" t="inlineStr">
        <is>
          <t>Clair</t>
        </is>
      </c>
      <c r="J19" s="4" t="inlineStr">
        <is>
          <t>Partiel</t>
        </is>
      </c>
      <c r="K19" s="4" t="inlineStr">
        <is>
          <t>Partiel</t>
        </is>
      </c>
      <c r="L19" s="4" t="inlineStr">
        <is>
          <t>Partiel</t>
        </is>
      </c>
      <c r="M19" s="4" t="inlineStr">
        <is>
          <t>Non mentionné</t>
        </is>
      </c>
      <c r="N19" s="6" t="n"/>
      <c r="O19" s="6" t="n"/>
      <c r="P19" s="14">
        <f>IF($B19="","",(E19="Clair")*'Critères et poids'!$G$5+(E19="Partiel")*'Critères et poids'!$G$5/2+(F19="Clair")*'Critères et poids'!$G$6+(F19="Partiel")*'Critères et poids'!$G$6/2+(G19="Clair")*'Critères et poids'!$G$7+(G19="Partiel")*'Critères et poids'!$G$7/2+(H19="Clair")*'Critères et poids'!$G$8+(H19="Partiel")*'Critères et poids'!$G$8/2)</f>
        <v/>
      </c>
      <c r="Q19" s="14">
        <f>IF($B19="","",(I19="Clair")*'Critères et poids'!$G$9+(I19="Partiel")*'Critères et poids'!$G$9/2+(J19="Clair")*'Critères et poids'!$G$10+(J19="Partiel")*'Critères et poids'!$G$10/2+(K19="Clair")*'Critères et poids'!$G$11+(K19="Partiel")*'Critères et poids'!$G$11/2+(L19="Clair")*'Critères et poids'!$G$12+(L19="Partiel")*'Critères et poids'!$G$12/2+(M19="Clair")*'Critères et poids'!$G$13+(M19="Partiel")*'Critères et poids'!$G$13/2)</f>
        <v/>
      </c>
      <c r="R19" s="14">
        <f>IF($B19="","",IFERROR(VLOOKUP(N19,'Critères et poids'!$B$17:$C$20,2,FALSE),0))</f>
        <v/>
      </c>
      <c r="S19" s="9">
        <f>IF($B19="","",MAX(0,P19+Q19+R19))</f>
        <v/>
      </c>
      <c r="T19" s="9">
        <f>IF($B19="","",IF(O19&lt;&gt;"","X",IF(S19&gt;='Critères et poids'!$C$29,"A",IF(S19&gt;='Critères et poids'!$C$30,"B","C"))))</f>
        <v/>
      </c>
      <c r="U19" s="14">
        <f>IF(T19="","",INDEX('Critères et poids'!$D$29:$D$32,MATCH(T19,'Critères et poids'!$A$29:$A$32,0)))</f>
        <v/>
      </c>
      <c r="V19" s="14">
        <f>IF(T19="","",INDEX('Critères et poids'!$F$29:$F$32,MATCH(T19,'Critères et poids'!$A$29:$A$32,0)))</f>
        <v/>
      </c>
      <c r="W19" s="15">
        <f>IF(OR(AH19="",AJ19=""),"",IF(AI19+AJ19*60&lt;=ROUND('Critères et poids'!$C$37*1440,0),INT(AH19)+(AI19+AJ19*60)/1440,WORKDAY(INT(AH19),1+INT((AI19+AJ19*60-ROUND('Critères et poids'!$C$37*1440,0)-1)/(ROUND('Critères et poids'!$C$37*1440,0)-ROUND('Critères et poids'!$C$36*1440,0))))+(ROUND('Critères et poids'!$C$36*1440,0)+AI19+AJ19*60-ROUND('Critères et poids'!$C$37*1440,0)-INT((AI19+AJ19*60-ROUND('Critères et poids'!$C$37*1440,0)-1)/(ROUND('Critères et poids'!$C$37*1440,0)-ROUND('Critères et poids'!$C$36*1440,0)))*(ROUND('Critères et poids'!$C$37*1440,0)-ROUND('Critères et poids'!$C$36*1440,0)))/1440))</f>
        <v/>
      </c>
      <c r="X19" s="16" t="n">
        <v>46282.68055555555</v>
      </c>
      <c r="Y19" s="14">
        <f>IF(W19="","",IF(X19="",IF(NOW()&gt;W19,"En retard","En attente"),IF(X19&lt;=W19,"À temps","En retard")))</f>
        <v/>
      </c>
      <c r="Z19" s="17" t="n"/>
      <c r="AA19" s="14">
        <f>IF($B19="","",IF(OR(T19="X",AD19&lt;&gt;""),0,MAX(0,MIN(Q19,'Critères et poids'!$C$38*INT((TODAY()-IF(Z19&lt;&gt;"",Z19,INT($A19)))/7)))))</f>
        <v/>
      </c>
      <c r="AB19" s="14">
        <f>IF($B19="","",MAX(0,S19-AA19))</f>
        <v/>
      </c>
      <c r="AC19" s="9">
        <f>IF($B19="","",IF(T19="X","X",IF(AB19&gt;='Critères et poids'!$C$29,"A",IF(AB19&gt;='Critères et poids'!$C$30,"B","C"))))</f>
        <v/>
      </c>
      <c r="AD19" s="4" t="inlineStr">
        <is>
          <t>Gagné</t>
        </is>
      </c>
      <c r="AE19" s="18" t="n">
        <v>6000</v>
      </c>
      <c r="AF19" s="6" t="n"/>
      <c r="AH19">
        <f>IF($A19="","",IF(OR(WEEKDAY($A19,2)&gt;5,ROUND(MOD($A19,1)*1440,0)&gt;=ROUND('Critères et poids'!$C$37*1440,0)),WORKDAY(INT($A19),1)+ROUND('Critères et poids'!$C$36*1440,0)/1440,IF(ROUND(MOD($A19,1)*1440,0)&lt;ROUND('Critères et poids'!$C$36*1440,0),INT($A19)+ROUND('Critères et poids'!$C$36*1440,0)/1440,$A19)))</f>
        <v/>
      </c>
      <c r="AI19">
        <f>IF(AH19="","",ROUND(MOD(AH19,1)*1440,0))</f>
        <v/>
      </c>
      <c r="AJ19">
        <f>IF(T19="","",INDEX('Critères et poids'!$E$29:$E$32,MATCH(T19,'Critères et poids'!$A$29:$A$32,0)))</f>
        <v/>
      </c>
    </row>
    <row r="20">
      <c r="A20" s="13" t="n">
        <v>46283.73611111111</v>
      </c>
      <c r="B20" s="6" t="inlineStr">
        <is>
          <t>Ruth A.</t>
        </is>
      </c>
      <c r="C20" s="6" t="inlineStr">
        <is>
          <t>Adler Consulting</t>
        </is>
      </c>
      <c r="D20" s="4" t="inlineStr">
        <is>
          <t>Chat du site</t>
        </is>
      </c>
      <c r="E20" s="4" t="inlineStr">
        <is>
          <t>Partiel</t>
        </is>
      </c>
      <c r="F20" s="4" t="inlineStr">
        <is>
          <t>Clair</t>
        </is>
      </c>
      <c r="G20" s="4" t="inlineStr">
        <is>
          <t>Clair</t>
        </is>
      </c>
      <c r="H20" s="4" t="inlineStr">
        <is>
          <t>Partiel</t>
        </is>
      </c>
      <c r="I20" s="4" t="inlineStr">
        <is>
          <t>Clair</t>
        </is>
      </c>
      <c r="J20" s="4" t="inlineStr">
        <is>
          <t>Partiel</t>
        </is>
      </c>
      <c r="K20" s="4" t="inlineStr">
        <is>
          <t>Partiel</t>
        </is>
      </c>
      <c r="L20" s="4" t="inlineStr">
        <is>
          <t>Partiel</t>
        </is>
      </c>
      <c r="M20" s="4" t="inlineStr">
        <is>
          <t>Non mentionné</t>
        </is>
      </c>
      <c r="N20" s="6" t="inlineStr">
        <is>
          <t>Budget sous 450 $ par mois</t>
        </is>
      </c>
      <c r="O20" s="6" t="n"/>
      <c r="P20" s="14">
        <f>IF($B20="","",(E20="Clair")*'Critères et poids'!$G$5+(E20="Partiel")*'Critères et poids'!$G$5/2+(F20="Clair")*'Critères et poids'!$G$6+(F20="Partiel")*'Critères et poids'!$G$6/2+(G20="Clair")*'Critères et poids'!$G$7+(G20="Partiel")*'Critères et poids'!$G$7/2+(H20="Clair")*'Critères et poids'!$G$8+(H20="Partiel")*'Critères et poids'!$G$8/2)</f>
        <v/>
      </c>
      <c r="Q20" s="14">
        <f>IF($B20="","",(I20="Clair")*'Critères et poids'!$G$9+(I20="Partiel")*'Critères et poids'!$G$9/2+(J20="Clair")*'Critères et poids'!$G$10+(J20="Partiel")*'Critères et poids'!$G$10/2+(K20="Clair")*'Critères et poids'!$G$11+(K20="Partiel")*'Critères et poids'!$G$11/2+(L20="Clair")*'Critères et poids'!$G$12+(L20="Partiel")*'Critères et poids'!$G$12/2+(M20="Clair")*'Critères et poids'!$G$13+(M20="Partiel")*'Critères et poids'!$G$13/2)</f>
        <v/>
      </c>
      <c r="R20" s="14">
        <f>IF($B20="","",IFERROR(VLOOKUP(N20,'Critères et poids'!$B$17:$C$20,2,FALSE),0))</f>
        <v/>
      </c>
      <c r="S20" s="9">
        <f>IF($B20="","",MAX(0,P20+Q20+R20))</f>
        <v/>
      </c>
      <c r="T20" s="9">
        <f>IF($B20="","",IF(O20&lt;&gt;"","X",IF(S20&gt;='Critères et poids'!$C$29,"A",IF(S20&gt;='Critères et poids'!$C$30,"B","C"))))</f>
        <v/>
      </c>
      <c r="U20" s="14">
        <f>IF(T20="","",INDEX('Critères et poids'!$D$29:$D$32,MATCH(T20,'Critères et poids'!$A$29:$A$32,0)))</f>
        <v/>
      </c>
      <c r="V20" s="14">
        <f>IF(T20="","",INDEX('Critères et poids'!$F$29:$F$32,MATCH(T20,'Critères et poids'!$A$29:$A$32,0)))</f>
        <v/>
      </c>
      <c r="W20" s="15">
        <f>IF(OR(AH20="",AJ20=""),"",IF(AI20+AJ20*60&lt;=ROUND('Critères et poids'!$C$37*1440,0),INT(AH20)+(AI20+AJ20*60)/1440,WORKDAY(INT(AH20),1+INT((AI20+AJ20*60-ROUND('Critères et poids'!$C$37*1440,0)-1)/(ROUND('Critères et poids'!$C$37*1440,0)-ROUND('Critères et poids'!$C$36*1440,0))))+(ROUND('Critères et poids'!$C$36*1440,0)+AI20+AJ20*60-ROUND('Critères et poids'!$C$37*1440,0)-INT((AI20+AJ20*60-ROUND('Critères et poids'!$C$37*1440,0)-1)/(ROUND('Critères et poids'!$C$37*1440,0)-ROUND('Critères et poids'!$C$36*1440,0)))*(ROUND('Critères et poids'!$C$37*1440,0)-ROUND('Critères et poids'!$C$36*1440,0)))/1440))</f>
        <v/>
      </c>
      <c r="X20" s="16" t="n">
        <v>46286.42708333334</v>
      </c>
      <c r="Y20" s="14">
        <f>IF(W20="","",IF(X20="",IF(NOW()&gt;W20,"En retard","En attente"),IF(X20&lt;=W20,"À temps","En retard")))</f>
        <v/>
      </c>
      <c r="Z20" s="17" t="n"/>
      <c r="AA20" s="14">
        <f>IF($B20="","",IF(OR(T20="X",AD20&lt;&gt;""),0,MAX(0,MIN(Q20,'Critères et poids'!$C$38*INT((TODAY()-IF(Z20&lt;&gt;"",Z20,INT($A20)))/7)))))</f>
        <v/>
      </c>
      <c r="AB20" s="14">
        <f>IF($B20="","",MAX(0,S20-AA20))</f>
        <v/>
      </c>
      <c r="AC20" s="9">
        <f>IF($B20="","",IF(T20="X","X",IF(AB20&gt;='Critères et poids'!$C$29,"A",IF(AB20&gt;='Critères et poids'!$C$30,"B","C"))))</f>
        <v/>
      </c>
      <c r="AD20" s="4" t="inlineStr">
        <is>
          <t>Perdu</t>
        </is>
      </c>
      <c r="AE20" s="18" t="n"/>
      <c r="AF20" s="6" t="inlineStr">
        <is>
          <t>Budget de 350 $ par mois</t>
        </is>
      </c>
      <c r="AH20">
        <f>IF($A20="","",IF(OR(WEEKDAY($A20,2)&gt;5,ROUND(MOD($A20,1)*1440,0)&gt;=ROUND('Critères et poids'!$C$37*1440,0)),WORKDAY(INT($A20),1)+ROUND('Critères et poids'!$C$36*1440,0)/1440,IF(ROUND(MOD($A20,1)*1440,0)&lt;ROUND('Critères et poids'!$C$36*1440,0),INT($A20)+ROUND('Critères et poids'!$C$36*1440,0)/1440,$A20)))</f>
        <v/>
      </c>
      <c r="AI20">
        <f>IF(AH20="","",ROUND(MOD(AH20,1)*1440,0))</f>
        <v/>
      </c>
      <c r="AJ20">
        <f>IF(T20="","",INDEX('Critères et poids'!$E$29:$E$32,MATCH(T20,'Critères et poids'!$A$29:$A$32,0)))</f>
        <v/>
      </c>
    </row>
    <row r="21">
      <c r="A21" s="13" t="n">
        <v>46286.43055555555</v>
      </c>
      <c r="B21" s="6" t="inlineStr">
        <is>
          <t>Chris B.</t>
        </is>
      </c>
      <c r="C21" s="6" t="inlineStr">
        <is>
          <t>Bauer Roofing</t>
        </is>
      </c>
      <c r="D21" s="4" t="inlineStr">
        <is>
          <t>Téléphone</t>
        </is>
      </c>
      <c r="E21" s="4" t="inlineStr">
        <is>
          <t>Clair</t>
        </is>
      </c>
      <c r="F21" s="4" t="inlineStr">
        <is>
          <t>Partiel</t>
        </is>
      </c>
      <c r="G21" s="4" t="inlineStr">
        <is>
          <t>Clair</t>
        </is>
      </c>
      <c r="H21" s="4" t="inlineStr">
        <is>
          <t>Clair</t>
        </is>
      </c>
      <c r="I21" s="4" t="inlineStr">
        <is>
          <t>Clair</t>
        </is>
      </c>
      <c r="J21" s="4" t="inlineStr">
        <is>
          <t>Partiel</t>
        </is>
      </c>
      <c r="K21" s="4" t="inlineStr">
        <is>
          <t>Partiel</t>
        </is>
      </c>
      <c r="L21" s="4" t="inlineStr">
        <is>
          <t>Non mentionné</t>
        </is>
      </c>
      <c r="M21" s="4" t="inlineStr">
        <is>
          <t>Clair</t>
        </is>
      </c>
      <c r="N21" s="6" t="n"/>
      <c r="O21" s="6" t="n"/>
      <c r="P21" s="14">
        <f>IF($B21="","",(E21="Clair")*'Critères et poids'!$G$5+(E21="Partiel")*'Critères et poids'!$G$5/2+(F21="Clair")*'Critères et poids'!$G$6+(F21="Partiel")*'Critères et poids'!$G$6/2+(G21="Clair")*'Critères et poids'!$G$7+(G21="Partiel")*'Critères et poids'!$G$7/2+(H21="Clair")*'Critères et poids'!$G$8+(H21="Partiel")*'Critères et poids'!$G$8/2)</f>
        <v/>
      </c>
      <c r="Q21" s="14">
        <f>IF($B21="","",(I21="Clair")*'Critères et poids'!$G$9+(I21="Partiel")*'Critères et poids'!$G$9/2+(J21="Clair")*'Critères et poids'!$G$10+(J21="Partiel")*'Critères et poids'!$G$10/2+(K21="Clair")*'Critères et poids'!$G$11+(K21="Partiel")*'Critères et poids'!$G$11/2+(L21="Clair")*'Critères et poids'!$G$12+(L21="Partiel")*'Critères et poids'!$G$12/2+(M21="Clair")*'Critères et poids'!$G$13+(M21="Partiel")*'Critères et poids'!$G$13/2)</f>
        <v/>
      </c>
      <c r="R21" s="14">
        <f>IF($B21="","",IFERROR(VLOOKUP(N21,'Critères et poids'!$B$17:$C$20,2,FALSE),0))</f>
        <v/>
      </c>
      <c r="S21" s="9">
        <f>IF($B21="","",MAX(0,P21+Q21+R21))</f>
        <v/>
      </c>
      <c r="T21" s="9">
        <f>IF($B21="","",IF(O21&lt;&gt;"","X",IF(S21&gt;='Critères et poids'!$C$29,"A",IF(S21&gt;='Critères et poids'!$C$30,"B","C"))))</f>
        <v/>
      </c>
      <c r="U21" s="14">
        <f>IF(T21="","",INDEX('Critères et poids'!$D$29:$D$32,MATCH(T21,'Critères et poids'!$A$29:$A$32,0)))</f>
        <v/>
      </c>
      <c r="V21" s="14">
        <f>IF(T21="","",INDEX('Critères et poids'!$F$29:$F$32,MATCH(T21,'Critères et poids'!$A$29:$A$32,0)))</f>
        <v/>
      </c>
      <c r="W21" s="15">
        <f>IF(OR(AH21="",AJ21=""),"",IF(AI21+AJ21*60&lt;=ROUND('Critères et poids'!$C$37*1440,0),INT(AH21)+(AI21+AJ21*60)/1440,WORKDAY(INT(AH21),1+INT((AI21+AJ21*60-ROUND('Critères et poids'!$C$37*1440,0)-1)/(ROUND('Critères et poids'!$C$37*1440,0)-ROUND('Critères et poids'!$C$36*1440,0))))+(ROUND('Critères et poids'!$C$36*1440,0)+AI21+AJ21*60-ROUND('Critères et poids'!$C$37*1440,0)-INT((AI21+AJ21*60-ROUND('Critères et poids'!$C$37*1440,0)-1)/(ROUND('Critères et poids'!$C$37*1440,0)-ROUND('Critères et poids'!$C$36*1440,0)))*(ROUND('Critères et poids'!$C$37*1440,0)-ROUND('Critères et poids'!$C$36*1440,0)))/1440))</f>
        <v/>
      </c>
      <c r="X21" s="16" t="n">
        <v>46286.54513888889</v>
      </c>
      <c r="Y21" s="14">
        <f>IF(W21="","",IF(X21="",IF(NOW()&gt;W21,"En retard","En attente"),IF(X21&lt;=W21,"À temps","En retard")))</f>
        <v/>
      </c>
      <c r="Z21" s="17" t="n"/>
      <c r="AA21" s="14">
        <f>IF($B21="","",IF(OR(T21="X",AD21&lt;&gt;""),0,MAX(0,MIN(Q21,'Critères et poids'!$C$38*INT((TODAY()-IF(Z21&lt;&gt;"",Z21,INT($A21)))/7)))))</f>
        <v/>
      </c>
      <c r="AB21" s="14">
        <f>IF($B21="","",MAX(0,S21-AA21))</f>
        <v/>
      </c>
      <c r="AC21" s="9">
        <f>IF($B21="","",IF(T21="X","X",IF(AB21&gt;='Critères et poids'!$C$29,"A",IF(AB21&gt;='Critères et poids'!$C$30,"B","C"))))</f>
        <v/>
      </c>
      <c r="AD21" s="4" t="inlineStr">
        <is>
          <t>Perdu</t>
        </is>
      </c>
      <c r="AE21" s="18" t="n"/>
      <c r="AF21" s="6" t="inlineStr">
        <is>
          <t>Première réponse avec 1 h 45 de retard ; a choisi un autre cabinet</t>
        </is>
      </c>
      <c r="AH21">
        <f>IF($A21="","",IF(OR(WEEKDAY($A21,2)&gt;5,ROUND(MOD($A21,1)*1440,0)&gt;=ROUND('Critères et poids'!$C$37*1440,0)),WORKDAY(INT($A21),1)+ROUND('Critères et poids'!$C$36*1440,0)/1440,IF(ROUND(MOD($A21,1)*1440,0)&lt;ROUND('Critères et poids'!$C$36*1440,0),INT($A21)+ROUND('Critères et poids'!$C$36*1440,0)/1440,$A21)))</f>
        <v/>
      </c>
      <c r="AI21">
        <f>IF(AH21="","",ROUND(MOD(AH21,1)*1440,0))</f>
        <v/>
      </c>
      <c r="AJ21">
        <f>IF(T21="","",INDEX('Critères et poids'!$E$29:$E$32,MATCH(T21,'Critères et poids'!$A$29:$A$32,0)))</f>
        <v/>
      </c>
    </row>
    <row r="22">
      <c r="A22" s="13" t="n">
        <v>46286.6875</v>
      </c>
      <c r="B22" s="6" t="inlineStr">
        <is>
          <t>Rita G.</t>
        </is>
      </c>
      <c r="C22" s="6" t="inlineStr">
        <is>
          <t>Gomez Cleaning Crew</t>
        </is>
      </c>
      <c r="D22" s="4" t="inlineStr">
        <is>
          <t>Recommandation</t>
        </is>
      </c>
      <c r="E22" s="4" t="inlineStr">
        <is>
          <t>Partiel</t>
        </is>
      </c>
      <c r="F22" s="4" t="inlineStr">
        <is>
          <t>Clair</t>
        </is>
      </c>
      <c r="G22" s="4" t="inlineStr">
        <is>
          <t>Clair</t>
        </is>
      </c>
      <c r="H22" s="4" t="inlineStr">
        <is>
          <t>Non mentionné</t>
        </is>
      </c>
      <c r="I22" s="4" t="inlineStr">
        <is>
          <t>Partiel</t>
        </is>
      </c>
      <c r="J22" s="4" t="inlineStr">
        <is>
          <t>Non mentionné</t>
        </is>
      </c>
      <c r="K22" s="4" t="inlineStr">
        <is>
          <t>Non mentionné</t>
        </is>
      </c>
      <c r="L22" s="4" t="inlineStr">
        <is>
          <t>Non mentionné</t>
        </is>
      </c>
      <c r="M22" s="4" t="inlineStr">
        <is>
          <t>Clair</t>
        </is>
      </c>
      <c r="N22" s="6" t="n"/>
      <c r="O22" s="6" t="n"/>
      <c r="P22" s="14">
        <f>IF($B22="","",(E22="Clair")*'Critères et poids'!$G$5+(E22="Partiel")*'Critères et poids'!$G$5/2+(F22="Clair")*'Critères et poids'!$G$6+(F22="Partiel")*'Critères et poids'!$G$6/2+(G22="Clair")*'Critères et poids'!$G$7+(G22="Partiel")*'Critères et poids'!$G$7/2+(H22="Clair")*'Critères et poids'!$G$8+(H22="Partiel")*'Critères et poids'!$G$8/2)</f>
        <v/>
      </c>
      <c r="Q22" s="14">
        <f>IF($B22="","",(I22="Clair")*'Critères et poids'!$G$9+(I22="Partiel")*'Critères et poids'!$G$9/2+(J22="Clair")*'Critères et poids'!$G$10+(J22="Partiel")*'Critères et poids'!$G$10/2+(K22="Clair")*'Critères et poids'!$G$11+(K22="Partiel")*'Critères et poids'!$G$11/2+(L22="Clair")*'Critères et poids'!$G$12+(L22="Partiel")*'Critères et poids'!$G$12/2+(M22="Clair")*'Critères et poids'!$G$13+(M22="Partiel")*'Critères et poids'!$G$13/2)</f>
        <v/>
      </c>
      <c r="R22" s="14">
        <f>IF($B22="","",IFERROR(VLOOKUP(N22,'Critères et poids'!$B$17:$C$20,2,FALSE),0))</f>
        <v/>
      </c>
      <c r="S22" s="9">
        <f>IF($B22="","",MAX(0,P22+Q22+R22))</f>
        <v/>
      </c>
      <c r="T22" s="9">
        <f>IF($B22="","",IF(O22&lt;&gt;"","X",IF(S22&gt;='Critères et poids'!$C$29,"A",IF(S22&gt;='Critères et poids'!$C$30,"B","C"))))</f>
        <v/>
      </c>
      <c r="U22" s="14">
        <f>IF(T22="","",INDEX('Critères et poids'!$D$29:$D$32,MATCH(T22,'Critères et poids'!$A$29:$A$32,0)))</f>
        <v/>
      </c>
      <c r="V22" s="14">
        <f>IF(T22="","",INDEX('Critères et poids'!$F$29:$F$32,MATCH(T22,'Critères et poids'!$A$29:$A$32,0)))</f>
        <v/>
      </c>
      <c r="W22" s="15">
        <f>IF(OR(AH22="",AJ22=""),"",IF(AI22+AJ22*60&lt;=ROUND('Critères et poids'!$C$37*1440,0),INT(AH22)+(AI22+AJ22*60)/1440,WORKDAY(INT(AH22),1+INT((AI22+AJ22*60-ROUND('Critères et poids'!$C$37*1440,0)-1)/(ROUND('Critères et poids'!$C$37*1440,0)-ROUND('Critères et poids'!$C$36*1440,0))))+(ROUND('Critères et poids'!$C$36*1440,0)+AI22+AJ22*60-ROUND('Critères et poids'!$C$37*1440,0)-INT((AI22+AJ22*60-ROUND('Critères et poids'!$C$37*1440,0)-1)/(ROUND('Critères et poids'!$C$37*1440,0)-ROUND('Critères et poids'!$C$36*1440,0)))*(ROUND('Critères et poids'!$C$37*1440,0)-ROUND('Critères et poids'!$C$36*1440,0)))/1440))</f>
        <v/>
      </c>
      <c r="X22" s="16" t="n">
        <v>46287.41666666666</v>
      </c>
      <c r="Y22" s="14">
        <f>IF(W22="","",IF(X22="",IF(NOW()&gt;W22,"En retard","En attente"),IF(X22&lt;=W22,"À temps","En retard")))</f>
        <v/>
      </c>
      <c r="Z22" s="17" t="n"/>
      <c r="AA22" s="14">
        <f>IF($B22="","",IF(OR(T22="X",AD22&lt;&gt;""),0,MAX(0,MIN(Q22,'Critères et poids'!$C$38*INT((TODAY()-IF(Z22&lt;&gt;"",Z22,INT($A22)))/7)))))</f>
        <v/>
      </c>
      <c r="AB22" s="14">
        <f>IF($B22="","",MAX(0,S22-AA22))</f>
        <v/>
      </c>
      <c r="AC22" s="9">
        <f>IF($B22="","",IF(T22="X","X",IF(AB22&gt;='Critères et poids'!$C$29,"A",IF(AB22&gt;='Critères et poids'!$C$30,"B","C"))))</f>
        <v/>
      </c>
      <c r="AD22" s="4" t="inlineStr">
        <is>
          <t>Gagné</t>
        </is>
      </c>
      <c r="AE22" s="18" t="n">
        <v>3600</v>
      </c>
      <c r="AF22" s="6" t="inlineStr">
        <is>
          <t>Recommandé par Tessa M.</t>
        </is>
      </c>
      <c r="AH22">
        <f>IF($A22="","",IF(OR(WEEKDAY($A22,2)&gt;5,ROUND(MOD($A22,1)*1440,0)&gt;=ROUND('Critères et poids'!$C$37*1440,0)),WORKDAY(INT($A22),1)+ROUND('Critères et poids'!$C$36*1440,0)/1440,IF(ROUND(MOD($A22,1)*1440,0)&lt;ROUND('Critères et poids'!$C$36*1440,0),INT($A22)+ROUND('Critères et poids'!$C$36*1440,0)/1440,$A22)))</f>
        <v/>
      </c>
      <c r="AI22">
        <f>IF(AH22="","",ROUND(MOD(AH22,1)*1440,0))</f>
        <v/>
      </c>
      <c r="AJ22">
        <f>IF(T22="","",INDEX('Critères et poids'!$E$29:$E$32,MATCH(T22,'Critères et poids'!$A$29:$A$32,0)))</f>
        <v/>
      </c>
    </row>
    <row r="23">
      <c r="A23" s="13" t="n">
        <v>46287.54166666666</v>
      </c>
      <c r="B23" s="6" t="inlineStr">
        <is>
          <t>Lena F.</t>
        </is>
      </c>
      <c r="C23" s="6" t="inlineStr">
        <is>
          <t>Alpine Hearing Clinic</t>
        </is>
      </c>
      <c r="D23" s="4" t="inlineStr">
        <is>
          <t>Chat du site</t>
        </is>
      </c>
      <c r="E23" s="4" t="inlineStr">
        <is>
          <t>Clair</t>
        </is>
      </c>
      <c r="F23" s="4" t="inlineStr">
        <is>
          <t>Clair</t>
        </is>
      </c>
      <c r="G23" s="4" t="inlineStr">
        <is>
          <t>Clair</t>
        </is>
      </c>
      <c r="H23" s="4" t="inlineStr">
        <is>
          <t>Clair</t>
        </is>
      </c>
      <c r="I23" s="4" t="inlineStr">
        <is>
          <t>Clair</t>
        </is>
      </c>
      <c r="J23" s="4" t="inlineStr">
        <is>
          <t>Clair</t>
        </is>
      </c>
      <c r="K23" s="4" t="inlineStr">
        <is>
          <t>Clair</t>
        </is>
      </c>
      <c r="L23" s="4" t="inlineStr">
        <is>
          <t>Partiel</t>
        </is>
      </c>
      <c r="M23" s="4" t="inlineStr">
        <is>
          <t>Clair</t>
        </is>
      </c>
      <c r="N23" s="6" t="n"/>
      <c r="O23" s="6" t="n"/>
      <c r="P23" s="14">
        <f>IF($B23="","",(E23="Clair")*'Critères et poids'!$G$5+(E23="Partiel")*'Critères et poids'!$G$5/2+(F23="Clair")*'Critères et poids'!$G$6+(F23="Partiel")*'Critères et poids'!$G$6/2+(G23="Clair")*'Critères et poids'!$G$7+(G23="Partiel")*'Critères et poids'!$G$7/2+(H23="Clair")*'Critères et poids'!$G$8+(H23="Partiel")*'Critères et poids'!$G$8/2)</f>
        <v/>
      </c>
      <c r="Q23" s="14">
        <f>IF($B23="","",(I23="Clair")*'Critères et poids'!$G$9+(I23="Partiel")*'Critères et poids'!$G$9/2+(J23="Clair")*'Critères et poids'!$G$10+(J23="Partiel")*'Critères et poids'!$G$10/2+(K23="Clair")*'Critères et poids'!$G$11+(K23="Partiel")*'Critères et poids'!$G$11/2+(L23="Clair")*'Critères et poids'!$G$12+(L23="Partiel")*'Critères et poids'!$G$12/2+(M23="Clair")*'Critères et poids'!$G$13+(M23="Partiel")*'Critères et poids'!$G$13/2)</f>
        <v/>
      </c>
      <c r="R23" s="14">
        <f>IF($B23="","",IFERROR(VLOOKUP(N23,'Critères et poids'!$B$17:$C$20,2,FALSE),0))</f>
        <v/>
      </c>
      <c r="S23" s="9">
        <f>IF($B23="","",MAX(0,P23+Q23+R23))</f>
        <v/>
      </c>
      <c r="T23" s="9">
        <f>IF($B23="","",IF(O23&lt;&gt;"","X",IF(S23&gt;='Critères et poids'!$C$29,"A",IF(S23&gt;='Critères et poids'!$C$30,"B","C"))))</f>
        <v/>
      </c>
      <c r="U23" s="14">
        <f>IF(T23="","",INDEX('Critères et poids'!$D$29:$D$32,MATCH(T23,'Critères et poids'!$A$29:$A$32,0)))</f>
        <v/>
      </c>
      <c r="V23" s="14">
        <f>IF(T23="","",INDEX('Critères et poids'!$F$29:$F$32,MATCH(T23,'Critères et poids'!$A$29:$A$32,0)))</f>
        <v/>
      </c>
      <c r="W23" s="15">
        <f>IF(OR(AH23="",AJ23=""),"",IF(AI23+AJ23*60&lt;=ROUND('Critères et poids'!$C$37*1440,0),INT(AH23)+(AI23+AJ23*60)/1440,WORKDAY(INT(AH23),1+INT((AI23+AJ23*60-ROUND('Critères et poids'!$C$37*1440,0)-1)/(ROUND('Critères et poids'!$C$37*1440,0)-ROUND('Critères et poids'!$C$36*1440,0))))+(ROUND('Critères et poids'!$C$36*1440,0)+AI23+AJ23*60-ROUND('Critères et poids'!$C$37*1440,0)-INT((AI23+AJ23*60-ROUND('Critères et poids'!$C$37*1440,0)-1)/(ROUND('Critères et poids'!$C$37*1440,0)-ROUND('Critères et poids'!$C$36*1440,0)))*(ROUND('Critères et poids'!$C$37*1440,0)-ROUND('Critères et poids'!$C$36*1440,0)))/1440))</f>
        <v/>
      </c>
      <c r="X23" s="16" t="n">
        <v>46287.55555555555</v>
      </c>
      <c r="Y23" s="14">
        <f>IF(W23="","",IF(X23="",IF(NOW()&gt;W23,"En retard","En attente"),IF(X23&lt;=W23,"À temps","En retard")))</f>
        <v/>
      </c>
      <c r="Z23" s="17" t="n"/>
      <c r="AA23" s="14">
        <f>IF($B23="","",IF(OR(T23="X",AD23&lt;&gt;""),0,MAX(0,MIN(Q23,'Critères et poids'!$C$38*INT((TODAY()-IF(Z23&lt;&gt;"",Z23,INT($A23)))/7)))))</f>
        <v/>
      </c>
      <c r="AB23" s="14">
        <f>IF($B23="","",MAX(0,S23-AA23))</f>
        <v/>
      </c>
      <c r="AC23" s="9">
        <f>IF($B23="","",IF(T23="X","X",IF(AB23&gt;='Critères et poids'!$C$29,"A",IF(AB23&gt;='Critères et poids'!$C$30,"B","C"))))</f>
        <v/>
      </c>
      <c r="AD23" s="4" t="inlineStr">
        <is>
          <t>Gagné</t>
        </is>
      </c>
      <c r="AE23" s="18" t="n">
        <v>6600</v>
      </c>
      <c r="AF23" s="6" t="n"/>
      <c r="AH23">
        <f>IF($A23="","",IF(OR(WEEKDAY($A23,2)&gt;5,ROUND(MOD($A23,1)*1440,0)&gt;=ROUND('Critères et poids'!$C$37*1440,0)),WORKDAY(INT($A23),1)+ROUND('Critères et poids'!$C$36*1440,0)/1440,IF(ROUND(MOD($A23,1)*1440,0)&lt;ROUND('Critères et poids'!$C$36*1440,0),INT($A23)+ROUND('Critères et poids'!$C$36*1440,0)/1440,$A23)))</f>
        <v/>
      </c>
      <c r="AI23">
        <f>IF(AH23="","",ROUND(MOD(AH23,1)*1440,0))</f>
        <v/>
      </c>
      <c r="AJ23">
        <f>IF(T23="","",INDEX('Critères et poids'!$E$29:$E$32,MATCH(T23,'Critères et poids'!$A$29:$A$32,0)))</f>
        <v/>
      </c>
    </row>
    <row r="24">
      <c r="A24" s="13" t="n">
        <v>46288.37847222222</v>
      </c>
      <c r="B24" s="6" t="inlineStr">
        <is>
          <t>Diego S.</t>
        </is>
      </c>
      <c r="C24" s="6" t="inlineStr">
        <is>
          <t>Santos Coffee Roasters</t>
        </is>
      </c>
      <c r="D24" s="4" t="inlineStr">
        <is>
          <t>Formulaire web</t>
        </is>
      </c>
      <c r="E24" s="4" t="inlineStr">
        <is>
          <t>Clair</t>
        </is>
      </c>
      <c r="F24" s="4" t="inlineStr">
        <is>
          <t>Clair</t>
        </is>
      </c>
      <c r="G24" s="4" t="inlineStr">
        <is>
          <t>Clair</t>
        </is>
      </c>
      <c r="H24" s="4" t="inlineStr">
        <is>
          <t>Partiel</t>
        </is>
      </c>
      <c r="I24" s="4" t="inlineStr">
        <is>
          <t>Clair</t>
        </is>
      </c>
      <c r="J24" s="4" t="inlineStr">
        <is>
          <t>Non mentionné</t>
        </is>
      </c>
      <c r="K24" s="4" t="inlineStr">
        <is>
          <t>Partiel</t>
        </is>
      </c>
      <c r="L24" s="4" t="inlineStr">
        <is>
          <t>Non mentionné</t>
        </is>
      </c>
      <c r="M24" s="4" t="inlineStr">
        <is>
          <t>Clair</t>
        </is>
      </c>
      <c r="N24" s="6" t="n"/>
      <c r="O24" s="6" t="n"/>
      <c r="P24" s="14">
        <f>IF($B24="","",(E24="Clair")*'Critères et poids'!$G$5+(E24="Partiel")*'Critères et poids'!$G$5/2+(F24="Clair")*'Critères et poids'!$G$6+(F24="Partiel")*'Critères et poids'!$G$6/2+(G24="Clair")*'Critères et poids'!$G$7+(G24="Partiel")*'Critères et poids'!$G$7/2+(H24="Clair")*'Critères et poids'!$G$8+(H24="Partiel")*'Critères et poids'!$G$8/2)</f>
        <v/>
      </c>
      <c r="Q24" s="14">
        <f>IF($B24="","",(I24="Clair")*'Critères et poids'!$G$9+(I24="Partiel")*'Critères et poids'!$G$9/2+(J24="Clair")*'Critères et poids'!$G$10+(J24="Partiel")*'Critères et poids'!$G$10/2+(K24="Clair")*'Critères et poids'!$G$11+(K24="Partiel")*'Critères et poids'!$G$11/2+(L24="Clair")*'Critères et poids'!$G$12+(L24="Partiel")*'Critères et poids'!$G$12/2+(M24="Clair")*'Critères et poids'!$G$13+(M24="Partiel")*'Critères et poids'!$G$13/2)</f>
        <v/>
      </c>
      <c r="R24" s="14">
        <f>IF($B24="","",IFERROR(VLOOKUP(N24,'Critères et poids'!$B$17:$C$20,2,FALSE),0))</f>
        <v/>
      </c>
      <c r="S24" s="9">
        <f>IF($B24="","",MAX(0,P24+Q24+R24))</f>
        <v/>
      </c>
      <c r="T24" s="9">
        <f>IF($B24="","",IF(O24&lt;&gt;"","X",IF(S24&gt;='Critères et poids'!$C$29,"A",IF(S24&gt;='Critères et poids'!$C$30,"B","C"))))</f>
        <v/>
      </c>
      <c r="U24" s="14">
        <f>IF(T24="","",INDEX('Critères et poids'!$D$29:$D$32,MATCH(T24,'Critères et poids'!$A$29:$A$32,0)))</f>
        <v/>
      </c>
      <c r="V24" s="14">
        <f>IF(T24="","",INDEX('Critères et poids'!$F$29:$F$32,MATCH(T24,'Critères et poids'!$A$29:$A$32,0)))</f>
        <v/>
      </c>
      <c r="W24" s="15">
        <f>IF(OR(AH24="",AJ24=""),"",IF(AI24+AJ24*60&lt;=ROUND('Critères et poids'!$C$37*1440,0),INT(AH24)+(AI24+AJ24*60)/1440,WORKDAY(INT(AH24),1+INT((AI24+AJ24*60-ROUND('Critères et poids'!$C$37*1440,0)-1)/(ROUND('Critères et poids'!$C$37*1440,0)-ROUND('Critères et poids'!$C$36*1440,0))))+(ROUND('Critères et poids'!$C$36*1440,0)+AI24+AJ24*60-ROUND('Critères et poids'!$C$37*1440,0)-INT((AI24+AJ24*60-ROUND('Critères et poids'!$C$37*1440,0)-1)/(ROUND('Critères et poids'!$C$37*1440,0)-ROUND('Critères et poids'!$C$36*1440,0)))*(ROUND('Critères et poids'!$C$37*1440,0)-ROUND('Critères et poids'!$C$36*1440,0)))/1440))</f>
        <v/>
      </c>
      <c r="X24" s="16" t="n">
        <v>46288.45833333334</v>
      </c>
      <c r="Y24" s="14">
        <f>IF(W24="","",IF(X24="",IF(NOW()&gt;W24,"En retard","En attente"),IF(X24&lt;=W24,"À temps","En retard")))</f>
        <v/>
      </c>
      <c r="Z24" s="17" t="n"/>
      <c r="AA24" s="14">
        <f>IF($B24="","",IF(OR(T24="X",AD24&lt;&gt;""),0,MAX(0,MIN(Q24,'Critères et poids'!$C$38*INT((TODAY()-IF(Z24&lt;&gt;"",Z24,INT($A24)))/7)))))</f>
        <v/>
      </c>
      <c r="AB24" s="14">
        <f>IF($B24="","",MAX(0,S24-AA24))</f>
        <v/>
      </c>
      <c r="AC24" s="9">
        <f>IF($B24="","",IF(T24="X","X",IF(AB24&gt;='Critères et poids'!$C$29,"A",IF(AB24&gt;='Critères et poids'!$C$30,"B","C"))))</f>
        <v/>
      </c>
      <c r="AD24" s="4" t="inlineStr">
        <is>
          <t>Perdu</t>
        </is>
      </c>
      <c r="AE24" s="18" t="n"/>
      <c r="AF24" s="6" t="n"/>
      <c r="AH24">
        <f>IF($A24="","",IF(OR(WEEKDAY($A24,2)&gt;5,ROUND(MOD($A24,1)*1440,0)&gt;=ROUND('Critères et poids'!$C$37*1440,0)),WORKDAY(INT($A24),1)+ROUND('Critères et poids'!$C$36*1440,0)/1440,IF(ROUND(MOD($A24,1)*1440,0)&lt;ROUND('Critères et poids'!$C$36*1440,0),INT($A24)+ROUND('Critères et poids'!$C$36*1440,0)/1440,$A24)))</f>
        <v/>
      </c>
      <c r="AI24">
        <f>IF(AH24="","",ROUND(MOD(AH24,1)*1440,0))</f>
        <v/>
      </c>
      <c r="AJ24">
        <f>IF(T24="","",INDEX('Critères et poids'!$E$29:$E$32,MATCH(T24,'Critères et poids'!$A$29:$A$32,0)))</f>
        <v/>
      </c>
    </row>
    <row r="25">
      <c r="A25" s="13" t="n">
        <v>46289.65625</v>
      </c>
      <c r="B25" s="6" t="inlineStr">
        <is>
          <t>Olivia G.</t>
        </is>
      </c>
      <c r="C25" s="6" t="inlineStr">
        <is>
          <t>Grant Pet Supply</t>
        </is>
      </c>
      <c r="D25" s="4" t="inlineStr">
        <is>
          <t>Chat du site</t>
        </is>
      </c>
      <c r="E25" s="4" t="inlineStr">
        <is>
          <t>Partiel</t>
        </is>
      </c>
      <c r="F25" s="4" t="inlineStr">
        <is>
          <t>Clair</t>
        </is>
      </c>
      <c r="G25" s="4" t="inlineStr">
        <is>
          <t>Clair</t>
        </is>
      </c>
      <c r="H25" s="4" t="inlineStr">
        <is>
          <t>Partiel</t>
        </is>
      </c>
      <c r="I25" s="4" t="inlineStr">
        <is>
          <t>Partiel</t>
        </is>
      </c>
      <c r="J25" s="4" t="inlineStr">
        <is>
          <t>Clair</t>
        </is>
      </c>
      <c r="K25" s="4" t="inlineStr">
        <is>
          <t>Non mentionné</t>
        </is>
      </c>
      <c r="L25" s="4" t="inlineStr">
        <is>
          <t>Partiel</t>
        </is>
      </c>
      <c r="M25" s="4" t="inlineStr">
        <is>
          <t>Non mentionné</t>
        </is>
      </c>
      <c r="N25" s="6" t="n"/>
      <c r="O25" s="6" t="n"/>
      <c r="P25" s="14">
        <f>IF($B25="","",(E25="Clair")*'Critères et poids'!$G$5+(E25="Partiel")*'Critères et poids'!$G$5/2+(F25="Clair")*'Critères et poids'!$G$6+(F25="Partiel")*'Critères et poids'!$G$6/2+(G25="Clair")*'Critères et poids'!$G$7+(G25="Partiel")*'Critères et poids'!$G$7/2+(H25="Clair")*'Critères et poids'!$G$8+(H25="Partiel")*'Critères et poids'!$G$8/2)</f>
        <v/>
      </c>
      <c r="Q25" s="14">
        <f>IF($B25="","",(I25="Clair")*'Critères et poids'!$G$9+(I25="Partiel")*'Critères et poids'!$G$9/2+(J25="Clair")*'Critères et poids'!$G$10+(J25="Partiel")*'Critères et poids'!$G$10/2+(K25="Clair")*'Critères et poids'!$G$11+(K25="Partiel")*'Critères et poids'!$G$11/2+(L25="Clair")*'Critères et poids'!$G$12+(L25="Partiel")*'Critères et poids'!$G$12/2+(M25="Clair")*'Critères et poids'!$G$13+(M25="Partiel")*'Critères et poids'!$G$13/2)</f>
        <v/>
      </c>
      <c r="R25" s="14">
        <f>IF($B25="","",IFERROR(VLOOKUP(N25,'Critères et poids'!$B$17:$C$20,2,FALSE),0))</f>
        <v/>
      </c>
      <c r="S25" s="9">
        <f>IF($B25="","",MAX(0,P25+Q25+R25))</f>
        <v/>
      </c>
      <c r="T25" s="9">
        <f>IF($B25="","",IF(O25&lt;&gt;"","X",IF(S25&gt;='Critères et poids'!$C$29,"A",IF(S25&gt;='Critères et poids'!$C$30,"B","C"))))</f>
        <v/>
      </c>
      <c r="U25" s="14">
        <f>IF(T25="","",INDEX('Critères et poids'!$D$29:$D$32,MATCH(T25,'Critères et poids'!$A$29:$A$32,0)))</f>
        <v/>
      </c>
      <c r="V25" s="14">
        <f>IF(T25="","",INDEX('Critères et poids'!$F$29:$F$32,MATCH(T25,'Critères et poids'!$A$29:$A$32,0)))</f>
        <v/>
      </c>
      <c r="W25" s="15">
        <f>IF(OR(AH25="",AJ25=""),"",IF(AI25+AJ25*60&lt;=ROUND('Critères et poids'!$C$37*1440,0),INT(AH25)+(AI25+AJ25*60)/1440,WORKDAY(INT(AH25),1+INT((AI25+AJ25*60-ROUND('Critères et poids'!$C$37*1440,0)-1)/(ROUND('Critères et poids'!$C$37*1440,0)-ROUND('Critères et poids'!$C$36*1440,0))))+(ROUND('Critères et poids'!$C$36*1440,0)+AI25+AJ25*60-ROUND('Critères et poids'!$C$37*1440,0)-INT((AI25+AJ25*60-ROUND('Critères et poids'!$C$37*1440,0)-1)/(ROUND('Critères et poids'!$C$37*1440,0)-ROUND('Critères et poids'!$C$36*1440,0)))*(ROUND('Critères et poids'!$C$37*1440,0)-ROUND('Critères et poids'!$C$36*1440,0)))/1440))</f>
        <v/>
      </c>
      <c r="X25" s="16" t="n">
        <v>46290.40277777778</v>
      </c>
      <c r="Y25" s="14">
        <f>IF(W25="","",IF(X25="",IF(NOW()&gt;W25,"En retard","En attente"),IF(X25&lt;=W25,"À temps","En retard")))</f>
        <v/>
      </c>
      <c r="Z25" s="17" t="n"/>
      <c r="AA25" s="14">
        <f>IF($B25="","",IF(OR(T25="X",AD25&lt;&gt;""),0,MAX(0,MIN(Q25,'Critères et poids'!$C$38*INT((TODAY()-IF(Z25&lt;&gt;"",Z25,INT($A25)))/7)))))</f>
        <v/>
      </c>
      <c r="AB25" s="14">
        <f>IF($B25="","",MAX(0,S25-AA25))</f>
        <v/>
      </c>
      <c r="AC25" s="9">
        <f>IF($B25="","",IF(T25="X","X",IF(AB25&gt;='Critères et poids'!$C$29,"A",IF(AB25&gt;='Critères et poids'!$C$30,"B","C"))))</f>
        <v/>
      </c>
      <c r="AD25" s="4" t="inlineStr">
        <is>
          <t>Gagné</t>
        </is>
      </c>
      <c r="AE25" s="18" t="n">
        <v>5400</v>
      </c>
      <c r="AF25" s="6" t="n"/>
      <c r="AH25">
        <f>IF($A25="","",IF(OR(WEEKDAY($A25,2)&gt;5,ROUND(MOD($A25,1)*1440,0)&gt;=ROUND('Critères et poids'!$C$37*1440,0)),WORKDAY(INT($A25),1)+ROUND('Critères et poids'!$C$36*1440,0)/1440,IF(ROUND(MOD($A25,1)*1440,0)&lt;ROUND('Critères et poids'!$C$36*1440,0),INT($A25)+ROUND('Critères et poids'!$C$36*1440,0)/1440,$A25)))</f>
        <v/>
      </c>
      <c r="AI25">
        <f>IF(AH25="","",ROUND(MOD(AH25,1)*1440,0))</f>
        <v/>
      </c>
      <c r="AJ25">
        <f>IF(T25="","",INDEX('Critères et poids'!$E$29:$E$32,MATCH(T25,'Critères et poids'!$A$29:$A$32,0)))</f>
        <v/>
      </c>
    </row>
    <row r="26">
      <c r="A26" s="13" t="n">
        <v>46290.8125</v>
      </c>
      <c r="B26" s="6" t="inlineStr">
        <is>
          <t>Paul T.</t>
        </is>
      </c>
      <c r="C26" s="6" t="inlineStr">
        <is>
          <t>Turner Outfitters</t>
        </is>
      </c>
      <c r="D26" s="4" t="inlineStr">
        <is>
          <t>Chat du site</t>
        </is>
      </c>
      <c r="E26" s="4" t="inlineStr">
        <is>
          <t>Clair</t>
        </is>
      </c>
      <c r="F26" s="4" t="inlineStr">
        <is>
          <t>Non mentionné</t>
        </is>
      </c>
      <c r="G26" s="4" t="inlineStr">
        <is>
          <t>Clair</t>
        </is>
      </c>
      <c r="H26" s="4" t="inlineStr">
        <is>
          <t>Clair</t>
        </is>
      </c>
      <c r="I26" s="4" t="inlineStr">
        <is>
          <t>Clair</t>
        </is>
      </c>
      <c r="J26" s="4" t="inlineStr">
        <is>
          <t>Clair</t>
        </is>
      </c>
      <c r="K26" s="4" t="inlineStr">
        <is>
          <t>Non mentionné</t>
        </is>
      </c>
      <c r="L26" s="4" t="inlineStr">
        <is>
          <t>Clair</t>
        </is>
      </c>
      <c r="M26" s="4" t="inlineStr">
        <is>
          <t>Non mentionné</t>
        </is>
      </c>
      <c r="N26" s="6" t="n"/>
      <c r="O26" s="6" t="inlineStr">
        <is>
          <t>Entreprise hors du Colorado</t>
        </is>
      </c>
      <c r="P26" s="14">
        <f>IF($B26="","",(E26="Clair")*'Critères et poids'!$G$5+(E26="Partiel")*'Critères et poids'!$G$5/2+(F26="Clair")*'Critères et poids'!$G$6+(F26="Partiel")*'Critères et poids'!$G$6/2+(G26="Clair")*'Critères et poids'!$G$7+(G26="Partiel")*'Critères et poids'!$G$7/2+(H26="Clair")*'Critères et poids'!$G$8+(H26="Partiel")*'Critères et poids'!$G$8/2)</f>
        <v/>
      </c>
      <c r="Q26" s="14">
        <f>IF($B26="","",(I26="Clair")*'Critères et poids'!$G$9+(I26="Partiel")*'Critères et poids'!$G$9/2+(J26="Clair")*'Critères et poids'!$G$10+(J26="Partiel")*'Critères et poids'!$G$10/2+(K26="Clair")*'Critères et poids'!$G$11+(K26="Partiel")*'Critères et poids'!$G$11/2+(L26="Clair")*'Critères et poids'!$G$12+(L26="Partiel")*'Critères et poids'!$G$12/2+(M26="Clair")*'Critères et poids'!$G$13+(M26="Partiel")*'Critères et poids'!$G$13/2)</f>
        <v/>
      </c>
      <c r="R26" s="14">
        <f>IF($B26="","",IFERROR(VLOOKUP(N26,'Critères et poids'!$B$17:$C$20,2,FALSE),0))</f>
        <v/>
      </c>
      <c r="S26" s="9">
        <f>IF($B26="","",MAX(0,P26+Q26+R26))</f>
        <v/>
      </c>
      <c r="T26" s="9">
        <f>IF($B26="","",IF(O26&lt;&gt;"","X",IF(S26&gt;='Critères et poids'!$C$29,"A",IF(S26&gt;='Critères et poids'!$C$30,"B","C"))))</f>
        <v/>
      </c>
      <c r="U26" s="14">
        <f>IF(T26="","",INDEX('Critères et poids'!$D$29:$D$32,MATCH(T26,'Critères et poids'!$A$29:$A$32,0)))</f>
        <v/>
      </c>
      <c r="V26" s="14">
        <f>IF(T26="","",INDEX('Critères et poids'!$F$29:$F$32,MATCH(T26,'Critères et poids'!$A$29:$A$32,0)))</f>
        <v/>
      </c>
      <c r="W26" s="15">
        <f>IF(OR(AH26="",AJ26=""),"",IF(AI26+AJ26*60&lt;=ROUND('Critères et poids'!$C$37*1440,0),INT(AH26)+(AI26+AJ26*60)/1440,WORKDAY(INT(AH26),1+INT((AI26+AJ26*60-ROUND('Critères et poids'!$C$37*1440,0)-1)/(ROUND('Critères et poids'!$C$37*1440,0)-ROUND('Critères et poids'!$C$36*1440,0))))+(ROUND('Critères et poids'!$C$36*1440,0)+AI26+AJ26*60-ROUND('Critères et poids'!$C$37*1440,0)-INT((AI26+AJ26*60-ROUND('Critères et poids'!$C$37*1440,0)-1)/(ROUND('Critères et poids'!$C$37*1440,0)-ROUND('Critères et poids'!$C$36*1440,0)))*(ROUND('Critères et poids'!$C$37*1440,0)-ROUND('Critères et poids'!$C$36*1440,0)))/1440))</f>
        <v/>
      </c>
      <c r="X26" s="16" t="n">
        <v>46293.4375</v>
      </c>
      <c r="Y26" s="14">
        <f>IF(W26="","",IF(X26="",IF(NOW()&gt;W26,"En retard","En attente"),IF(X26&lt;=W26,"À temps","En retard")))</f>
        <v/>
      </c>
      <c r="Z26" s="17" t="n"/>
      <c r="AA26" s="14">
        <f>IF($B26="","",IF(OR(T26="X",AD26&lt;&gt;""),0,MAX(0,MIN(Q26,'Critères et poids'!$C$38*INT((TODAY()-IF(Z26&lt;&gt;"",Z26,INT($A26)))/7)))))</f>
        <v/>
      </c>
      <c r="AB26" s="14">
        <f>IF($B26="","",MAX(0,S26-AA26))</f>
        <v/>
      </c>
      <c r="AC26" s="9">
        <f>IF($B26="","",IF(T26="X","X",IF(AB26&gt;='Critères et poids'!$C$29,"A",IF(AB26&gt;='Critères et poids'!$C$30,"B","C"))))</f>
        <v/>
      </c>
      <c r="AD26" s="4" t="n"/>
      <c r="AE26" s="18" t="n"/>
      <c r="AF26" s="6" t="inlineStr">
        <is>
          <t>Entreprise dans le Wyoming</t>
        </is>
      </c>
      <c r="AH26">
        <f>IF($A26="","",IF(OR(WEEKDAY($A26,2)&gt;5,ROUND(MOD($A26,1)*1440,0)&gt;=ROUND('Critères et poids'!$C$37*1440,0)),WORKDAY(INT($A26),1)+ROUND('Critères et poids'!$C$36*1440,0)/1440,IF(ROUND(MOD($A26,1)*1440,0)&lt;ROUND('Critères et poids'!$C$36*1440,0),INT($A26)+ROUND('Critères et poids'!$C$36*1440,0)/1440,$A26)))</f>
        <v/>
      </c>
      <c r="AI26">
        <f>IF(AH26="","",ROUND(MOD(AH26,1)*1440,0))</f>
        <v/>
      </c>
      <c r="AJ26">
        <f>IF(T26="","",INDEX('Critères et poids'!$E$29:$E$32,MATCH(T26,'Critères et poids'!$A$29:$A$32,0)))</f>
        <v/>
      </c>
    </row>
    <row r="27">
      <c r="A27" s="13" t="n">
        <v>46293.46527777778</v>
      </c>
      <c r="B27" s="6" t="inlineStr">
        <is>
          <t>Yuki T.</t>
        </is>
      </c>
      <c r="C27" s="6" t="inlineStr">
        <is>
          <t>Tanaka Architects</t>
        </is>
      </c>
      <c r="D27" s="4" t="inlineStr">
        <is>
          <t>Chat du site</t>
        </is>
      </c>
      <c r="E27" s="4" t="inlineStr">
        <is>
          <t>Clair</t>
        </is>
      </c>
      <c r="F27" s="4" t="inlineStr">
        <is>
          <t>Clair</t>
        </is>
      </c>
      <c r="G27" s="4" t="inlineStr">
        <is>
          <t>Clair</t>
        </is>
      </c>
      <c r="H27" s="4" t="inlineStr">
        <is>
          <t>Clair</t>
        </is>
      </c>
      <c r="I27" s="4" t="inlineStr">
        <is>
          <t>Clair</t>
        </is>
      </c>
      <c r="J27" s="4" t="inlineStr">
        <is>
          <t>Partiel</t>
        </is>
      </c>
      <c r="K27" s="4" t="inlineStr">
        <is>
          <t>Partiel</t>
        </is>
      </c>
      <c r="L27" s="4" t="inlineStr">
        <is>
          <t>Clair</t>
        </is>
      </c>
      <c r="M27" s="4" t="inlineStr">
        <is>
          <t>Non mentionné</t>
        </is>
      </c>
      <c r="N27" s="6" t="n"/>
      <c r="O27" s="6" t="n"/>
      <c r="P27" s="14">
        <f>IF($B27="","",(E27="Clair")*'Critères et poids'!$G$5+(E27="Partiel")*'Critères et poids'!$G$5/2+(F27="Clair")*'Critères et poids'!$G$6+(F27="Partiel")*'Critères et poids'!$G$6/2+(G27="Clair")*'Critères et poids'!$G$7+(G27="Partiel")*'Critères et poids'!$G$7/2+(H27="Clair")*'Critères et poids'!$G$8+(H27="Partiel")*'Critères et poids'!$G$8/2)</f>
        <v/>
      </c>
      <c r="Q27" s="14">
        <f>IF($B27="","",(I27="Clair")*'Critères et poids'!$G$9+(I27="Partiel")*'Critères et poids'!$G$9/2+(J27="Clair")*'Critères et poids'!$G$10+(J27="Partiel")*'Critères et poids'!$G$10/2+(K27="Clair")*'Critères et poids'!$G$11+(K27="Partiel")*'Critères et poids'!$G$11/2+(L27="Clair")*'Critères et poids'!$G$12+(L27="Partiel")*'Critères et poids'!$G$12/2+(M27="Clair")*'Critères et poids'!$G$13+(M27="Partiel")*'Critères et poids'!$G$13/2)</f>
        <v/>
      </c>
      <c r="R27" s="14">
        <f>IF($B27="","",IFERROR(VLOOKUP(N27,'Critères et poids'!$B$17:$C$20,2,FALSE),0))</f>
        <v/>
      </c>
      <c r="S27" s="9">
        <f>IF($B27="","",MAX(0,P27+Q27+R27))</f>
        <v/>
      </c>
      <c r="T27" s="9">
        <f>IF($B27="","",IF(O27&lt;&gt;"","X",IF(S27&gt;='Critères et poids'!$C$29,"A",IF(S27&gt;='Critères et poids'!$C$30,"B","C"))))</f>
        <v/>
      </c>
      <c r="U27" s="14">
        <f>IF(T27="","",INDEX('Critères et poids'!$D$29:$D$32,MATCH(T27,'Critères et poids'!$A$29:$A$32,0)))</f>
        <v/>
      </c>
      <c r="V27" s="14">
        <f>IF(T27="","",INDEX('Critères et poids'!$F$29:$F$32,MATCH(T27,'Critères et poids'!$A$29:$A$32,0)))</f>
        <v/>
      </c>
      <c r="W27" s="15">
        <f>IF(OR(AH27="",AJ27=""),"",IF(AI27+AJ27*60&lt;=ROUND('Critères et poids'!$C$37*1440,0),INT(AH27)+(AI27+AJ27*60)/1440,WORKDAY(INT(AH27),1+INT((AI27+AJ27*60-ROUND('Critères et poids'!$C$37*1440,0)-1)/(ROUND('Critères et poids'!$C$37*1440,0)-ROUND('Critères et poids'!$C$36*1440,0))))+(ROUND('Critères et poids'!$C$36*1440,0)+AI27+AJ27*60-ROUND('Critères et poids'!$C$37*1440,0)-INT((AI27+AJ27*60-ROUND('Critères et poids'!$C$37*1440,0)-1)/(ROUND('Critères et poids'!$C$37*1440,0)-ROUND('Critères et poids'!$C$36*1440,0)))*(ROUND('Critères et poids'!$C$37*1440,0)-ROUND('Critères et poids'!$C$36*1440,0)))/1440))</f>
        <v/>
      </c>
      <c r="X27" s="16" t="n">
        <v>46293.48263888889</v>
      </c>
      <c r="Y27" s="14">
        <f>IF(W27="","",IF(X27="",IF(NOW()&gt;W27,"En retard","En attente"),IF(X27&lt;=W27,"À temps","En retard")))</f>
        <v/>
      </c>
      <c r="Z27" s="17" t="n">
        <v>46294</v>
      </c>
      <c r="AA27" s="14">
        <f>IF($B27="","",IF(OR(T27="X",AD27&lt;&gt;""),0,MAX(0,MIN(Q27,'Critères et poids'!$C$38*INT((TODAY()-IF(Z27&lt;&gt;"",Z27,INT($A27)))/7)))))</f>
        <v/>
      </c>
      <c r="AB27" s="14">
        <f>IF($B27="","",MAX(0,S27-AA27))</f>
        <v/>
      </c>
      <c r="AC27" s="9">
        <f>IF($B27="","",IF(T27="X","X",IF(AB27&gt;='Critères et poids'!$C$29,"A",IF(AB27&gt;='Critères et poids'!$C$30,"B","C"))))</f>
        <v/>
      </c>
      <c r="AD27" s="4" t="n"/>
      <c r="AE27" s="18" t="n"/>
      <c r="AF27" s="6" t="inlineStr">
        <is>
          <t>À demander : budget de la clôture annuelle</t>
        </is>
      </c>
      <c r="AH27">
        <f>IF($A27="","",IF(OR(WEEKDAY($A27,2)&gt;5,ROUND(MOD($A27,1)*1440,0)&gt;=ROUND('Critères et poids'!$C$37*1440,0)),WORKDAY(INT($A27),1)+ROUND('Critères et poids'!$C$36*1440,0)/1440,IF(ROUND(MOD($A27,1)*1440,0)&lt;ROUND('Critères et poids'!$C$36*1440,0),INT($A27)+ROUND('Critères et poids'!$C$36*1440,0)/1440,$A27)))</f>
        <v/>
      </c>
      <c r="AI27">
        <f>IF(AH27="","",ROUND(MOD(AH27,1)*1440,0))</f>
        <v/>
      </c>
      <c r="AJ27">
        <f>IF(T27="","",INDEX('Critères et poids'!$E$29:$E$32,MATCH(T27,'Critères et poids'!$A$29:$A$32,0)))</f>
        <v/>
      </c>
    </row>
    <row r="28">
      <c r="A28" s="13" t="n">
        <v>46294.41666666666</v>
      </c>
      <c r="B28" s="6" t="inlineStr">
        <is>
          <t>Ahmed Y.</t>
        </is>
      </c>
      <c r="C28" s="6" t="inlineStr">
        <is>
          <t>Yusuf Home Care</t>
        </is>
      </c>
      <c r="D28" s="4" t="inlineStr">
        <is>
          <t>Formulaire web</t>
        </is>
      </c>
      <c r="E28" s="4" t="inlineStr">
        <is>
          <t>Clair</t>
        </is>
      </c>
      <c r="F28" s="4" t="inlineStr">
        <is>
          <t>Clair</t>
        </is>
      </c>
      <c r="G28" s="4" t="inlineStr">
        <is>
          <t>Partiel</t>
        </is>
      </c>
      <c r="H28" s="4" t="inlineStr">
        <is>
          <t>Clair</t>
        </is>
      </c>
      <c r="I28" s="4" t="inlineStr">
        <is>
          <t>Partiel</t>
        </is>
      </c>
      <c r="J28" s="4" t="inlineStr">
        <is>
          <t>Non mentionné</t>
        </is>
      </c>
      <c r="K28" s="4" t="inlineStr">
        <is>
          <t>Non mentionné</t>
        </is>
      </c>
      <c r="L28" s="4" t="inlineStr">
        <is>
          <t>Partiel</t>
        </is>
      </c>
      <c r="M28" s="4" t="inlineStr">
        <is>
          <t>Non mentionné</t>
        </is>
      </c>
      <c r="N28" s="6" t="inlineStr">
        <is>
          <t>Compare seulement les prix</t>
        </is>
      </c>
      <c r="O28" s="6" t="n"/>
      <c r="P28" s="14">
        <f>IF($B28="","",(E28="Clair")*'Critères et poids'!$G$5+(E28="Partiel")*'Critères et poids'!$G$5/2+(F28="Clair")*'Critères et poids'!$G$6+(F28="Partiel")*'Critères et poids'!$G$6/2+(G28="Clair")*'Critères et poids'!$G$7+(G28="Partiel")*'Critères et poids'!$G$7/2+(H28="Clair")*'Critères et poids'!$G$8+(H28="Partiel")*'Critères et poids'!$G$8/2)</f>
        <v/>
      </c>
      <c r="Q28" s="14">
        <f>IF($B28="","",(I28="Clair")*'Critères et poids'!$G$9+(I28="Partiel")*'Critères et poids'!$G$9/2+(J28="Clair")*'Critères et poids'!$G$10+(J28="Partiel")*'Critères et poids'!$G$10/2+(K28="Clair")*'Critères et poids'!$G$11+(K28="Partiel")*'Critères et poids'!$G$11/2+(L28="Clair")*'Critères et poids'!$G$12+(L28="Partiel")*'Critères et poids'!$G$12/2+(M28="Clair")*'Critères et poids'!$G$13+(M28="Partiel")*'Critères et poids'!$G$13/2)</f>
        <v/>
      </c>
      <c r="R28" s="14">
        <f>IF($B28="","",IFERROR(VLOOKUP(N28,'Critères et poids'!$B$17:$C$20,2,FALSE),0))</f>
        <v/>
      </c>
      <c r="S28" s="9">
        <f>IF($B28="","",MAX(0,P28+Q28+R28))</f>
        <v/>
      </c>
      <c r="T28" s="9">
        <f>IF($B28="","",IF(O28&lt;&gt;"","X",IF(S28&gt;='Critères et poids'!$C$29,"A",IF(S28&gt;='Critères et poids'!$C$30,"B","C"))))</f>
        <v/>
      </c>
      <c r="U28" s="14">
        <f>IF(T28="","",INDEX('Critères et poids'!$D$29:$D$32,MATCH(T28,'Critères et poids'!$A$29:$A$32,0)))</f>
        <v/>
      </c>
      <c r="V28" s="14">
        <f>IF(T28="","",INDEX('Critères et poids'!$F$29:$F$32,MATCH(T28,'Critères et poids'!$A$29:$A$32,0)))</f>
        <v/>
      </c>
      <c r="W28" s="15">
        <f>IF(OR(AH28="",AJ28=""),"",IF(AI28+AJ28*60&lt;=ROUND('Critères et poids'!$C$37*1440,0),INT(AH28)+(AI28+AJ28*60)/1440,WORKDAY(INT(AH28),1+INT((AI28+AJ28*60-ROUND('Critères et poids'!$C$37*1440,0)-1)/(ROUND('Critères et poids'!$C$37*1440,0)-ROUND('Critères et poids'!$C$36*1440,0))))+(ROUND('Critères et poids'!$C$36*1440,0)+AI28+AJ28*60-ROUND('Critères et poids'!$C$37*1440,0)-INT((AI28+AJ28*60-ROUND('Critères et poids'!$C$37*1440,0)-1)/(ROUND('Critères et poids'!$C$37*1440,0)-ROUND('Critères et poids'!$C$36*1440,0)))*(ROUND('Critères et poids'!$C$37*1440,0)-ROUND('Critères et poids'!$C$36*1440,0)))/1440))</f>
        <v/>
      </c>
      <c r="X28" s="16" t="n">
        <v>46295.40625</v>
      </c>
      <c r="Y28" s="14">
        <f>IF(W28="","",IF(X28="",IF(NOW()&gt;W28,"En retard","En attente"),IF(X28&lt;=W28,"À temps","En retard")))</f>
        <v/>
      </c>
      <c r="Z28" s="17" t="n"/>
      <c r="AA28" s="14">
        <f>IF($B28="","",IF(OR(T28="X",AD28&lt;&gt;""),0,MAX(0,MIN(Q28,'Critères et poids'!$C$38*INT((TODAY()-IF(Z28&lt;&gt;"",Z28,INT($A28)))/7)))))</f>
        <v/>
      </c>
      <c r="AB28" s="14">
        <f>IF($B28="","",MAX(0,S28-AA28))</f>
        <v/>
      </c>
      <c r="AC28" s="9">
        <f>IF($B28="","",IF(T28="X","X",IF(AB28&gt;='Critères et poids'!$C$29,"A",IF(AB28&gt;='Critères et poids'!$C$30,"B","C"))))</f>
        <v/>
      </c>
      <c r="AD28" s="4" t="inlineStr">
        <is>
          <t>Perdu</t>
        </is>
      </c>
      <c r="AE28" s="18" t="n"/>
      <c r="AF28" s="6" t="n"/>
      <c r="AH28">
        <f>IF($A28="","",IF(OR(WEEKDAY($A28,2)&gt;5,ROUND(MOD($A28,1)*1440,0)&gt;=ROUND('Critères et poids'!$C$37*1440,0)),WORKDAY(INT($A28),1)+ROUND('Critères et poids'!$C$36*1440,0)/1440,IF(ROUND(MOD($A28,1)*1440,0)&lt;ROUND('Critères et poids'!$C$36*1440,0),INT($A28)+ROUND('Critères et poids'!$C$36*1440,0)/1440,$A28)))</f>
        <v/>
      </c>
      <c r="AI28">
        <f>IF(AH28="","",ROUND(MOD(AH28,1)*1440,0))</f>
        <v/>
      </c>
      <c r="AJ28">
        <f>IF(T28="","",INDEX('Critères et poids'!$E$29:$E$32,MATCH(T28,'Critères et poids'!$A$29:$A$32,0)))</f>
        <v/>
      </c>
    </row>
    <row r="29">
      <c r="A29" s="13" t="n">
        <v>46295.60069444445</v>
      </c>
      <c r="B29" s="6" t="inlineStr">
        <is>
          <t>Carla M.</t>
        </is>
      </c>
      <c r="C29" s="6" t="inlineStr">
        <is>
          <t>Mendes Bakery</t>
        </is>
      </c>
      <c r="D29" s="4" t="inlineStr">
        <is>
          <t>Chat du site</t>
        </is>
      </c>
      <c r="E29" s="4" t="inlineStr">
        <is>
          <t>Partiel</t>
        </is>
      </c>
      <c r="F29" s="4" t="inlineStr">
        <is>
          <t>Clair</t>
        </is>
      </c>
      <c r="G29" s="4" t="inlineStr">
        <is>
          <t>Clair</t>
        </is>
      </c>
      <c r="H29" s="4" t="inlineStr">
        <is>
          <t>Non mentionné</t>
        </is>
      </c>
      <c r="I29" s="4" t="inlineStr">
        <is>
          <t>Partiel</t>
        </is>
      </c>
      <c r="J29" s="4" t="inlineStr">
        <is>
          <t>Non mentionné</t>
        </is>
      </c>
      <c r="K29" s="4" t="inlineStr">
        <is>
          <t>Partiel</t>
        </is>
      </c>
      <c r="L29" s="4" t="inlineStr">
        <is>
          <t>Non mentionné</t>
        </is>
      </c>
      <c r="M29" s="4" t="inlineStr">
        <is>
          <t>Non mentionné</t>
        </is>
      </c>
      <c r="N29" s="6" t="n"/>
      <c r="O29" s="6" t="n"/>
      <c r="P29" s="14">
        <f>IF($B29="","",(E29="Clair")*'Critères et poids'!$G$5+(E29="Partiel")*'Critères et poids'!$G$5/2+(F29="Clair")*'Critères et poids'!$G$6+(F29="Partiel")*'Critères et poids'!$G$6/2+(G29="Clair")*'Critères et poids'!$G$7+(G29="Partiel")*'Critères et poids'!$G$7/2+(H29="Clair")*'Critères et poids'!$G$8+(H29="Partiel")*'Critères et poids'!$G$8/2)</f>
        <v/>
      </c>
      <c r="Q29" s="14">
        <f>IF($B29="","",(I29="Clair")*'Critères et poids'!$G$9+(I29="Partiel")*'Critères et poids'!$G$9/2+(J29="Clair")*'Critères et poids'!$G$10+(J29="Partiel")*'Critères et poids'!$G$10/2+(K29="Clair")*'Critères et poids'!$G$11+(K29="Partiel")*'Critères et poids'!$G$11/2+(L29="Clair")*'Critères et poids'!$G$12+(L29="Partiel")*'Critères et poids'!$G$12/2+(M29="Clair")*'Critères et poids'!$G$13+(M29="Partiel")*'Critères et poids'!$G$13/2)</f>
        <v/>
      </c>
      <c r="R29" s="14">
        <f>IF($B29="","",IFERROR(VLOOKUP(N29,'Critères et poids'!$B$17:$C$20,2,FALSE),0))</f>
        <v/>
      </c>
      <c r="S29" s="9">
        <f>IF($B29="","",MAX(0,P29+Q29+R29))</f>
        <v/>
      </c>
      <c r="T29" s="9">
        <f>IF($B29="","",IF(O29&lt;&gt;"","X",IF(S29&gt;='Critères et poids'!$C$29,"A",IF(S29&gt;='Critères et poids'!$C$30,"B","C"))))</f>
        <v/>
      </c>
      <c r="U29" s="14">
        <f>IF(T29="","",INDEX('Critères et poids'!$D$29:$D$32,MATCH(T29,'Critères et poids'!$A$29:$A$32,0)))</f>
        <v/>
      </c>
      <c r="V29" s="14">
        <f>IF(T29="","",INDEX('Critères et poids'!$F$29:$F$32,MATCH(T29,'Critères et poids'!$A$29:$A$32,0)))</f>
        <v/>
      </c>
      <c r="W29" s="15">
        <f>IF(OR(AH29="",AJ29=""),"",IF(AI29+AJ29*60&lt;=ROUND('Critères et poids'!$C$37*1440,0),INT(AH29)+(AI29+AJ29*60)/1440,WORKDAY(INT(AH29),1+INT((AI29+AJ29*60-ROUND('Critères et poids'!$C$37*1440,0)-1)/(ROUND('Critères et poids'!$C$37*1440,0)-ROUND('Critères et poids'!$C$36*1440,0))))+(ROUND('Critères et poids'!$C$36*1440,0)+AI29+AJ29*60-ROUND('Critères et poids'!$C$37*1440,0)-INT((AI29+AJ29*60-ROUND('Critères et poids'!$C$37*1440,0)-1)/(ROUND('Critères et poids'!$C$37*1440,0)-ROUND('Critères et poids'!$C$36*1440,0)))*(ROUND('Critères et poids'!$C$37*1440,0)-ROUND('Critères et poids'!$C$36*1440,0)))/1440))</f>
        <v/>
      </c>
      <c r="X29" s="16" t="n">
        <v>46296.41666666666</v>
      </c>
      <c r="Y29" s="14">
        <f>IF(W29="","",IF(X29="",IF(NOW()&gt;W29,"En retard","En attente"),IF(X29&lt;=W29,"À temps","En retard")))</f>
        <v/>
      </c>
      <c r="Z29" s="17" t="n">
        <v>46295</v>
      </c>
      <c r="AA29" s="14">
        <f>IF($B29="","",IF(OR(T29="X",AD29&lt;&gt;""),0,MAX(0,MIN(Q29,'Critères et poids'!$C$38*INT((TODAY()-IF(Z29&lt;&gt;"",Z29,INT($A29)))/7)))))</f>
        <v/>
      </c>
      <c r="AB29" s="14">
        <f>IF($B29="","",MAX(0,S29-AA29))</f>
        <v/>
      </c>
      <c r="AC29" s="9">
        <f>IF($B29="","",IF(T29="X","X",IF(AB29&gt;='Critères et poids'!$C$29,"A",IF(AB29&gt;='Critères et poids'!$C$30,"B","C"))))</f>
        <v/>
      </c>
      <c r="AD29" s="4" t="n"/>
      <c r="AE29" s="18" t="n"/>
      <c r="AF29" s="6" t="inlineStr">
        <is>
          <t>Relancer le 30 octobre</t>
        </is>
      </c>
      <c r="AH29">
        <f>IF($A29="","",IF(OR(WEEKDAY($A29,2)&gt;5,ROUND(MOD($A29,1)*1440,0)&gt;=ROUND('Critères et poids'!$C$37*1440,0)),WORKDAY(INT($A29),1)+ROUND('Critères et poids'!$C$36*1440,0)/1440,IF(ROUND(MOD($A29,1)*1440,0)&lt;ROUND('Critères et poids'!$C$36*1440,0),INT($A29)+ROUND('Critères et poids'!$C$36*1440,0)/1440,$A29)))</f>
        <v/>
      </c>
      <c r="AI29">
        <f>IF(AH29="","",ROUND(MOD(AH29,1)*1440,0))</f>
        <v/>
      </c>
      <c r="AJ29">
        <f>IF(T29="","",INDEX('Critères et poids'!$E$29:$E$32,MATCH(T29,'Critères et poids'!$A$29:$A$32,0)))</f>
        <v/>
      </c>
    </row>
    <row r="30">
      <c r="A30" s="13" t="n">
        <v>46296.39930555555</v>
      </c>
      <c r="B30" s="6" t="inlineStr">
        <is>
          <t>Ian B.</t>
        </is>
      </c>
      <c r="C30" s="6" t="inlineStr">
        <is>
          <t>Brooks HVAC</t>
        </is>
      </c>
      <c r="D30" s="4" t="inlineStr">
        <is>
          <t>Téléphone</t>
        </is>
      </c>
      <c r="E30" s="4" t="inlineStr">
        <is>
          <t>Clair</t>
        </is>
      </c>
      <c r="F30" s="4" t="inlineStr">
        <is>
          <t>Clair</t>
        </is>
      </c>
      <c r="G30" s="4" t="inlineStr">
        <is>
          <t>Clair</t>
        </is>
      </c>
      <c r="H30" s="4" t="inlineStr">
        <is>
          <t>Clair</t>
        </is>
      </c>
      <c r="I30" s="4" t="inlineStr">
        <is>
          <t>Clair</t>
        </is>
      </c>
      <c r="J30" s="4" t="inlineStr">
        <is>
          <t>Partiel</t>
        </is>
      </c>
      <c r="K30" s="4" t="inlineStr">
        <is>
          <t>Partiel</t>
        </is>
      </c>
      <c r="L30" s="4" t="inlineStr">
        <is>
          <t>Clair</t>
        </is>
      </c>
      <c r="M30" s="4" t="inlineStr">
        <is>
          <t>Clair</t>
        </is>
      </c>
      <c r="N30" s="6" t="inlineStr">
        <is>
          <t>Conditions que nous n’offrons pas</t>
        </is>
      </c>
      <c r="O30" s="6" t="n"/>
      <c r="P30" s="14">
        <f>IF($B30="","",(E30="Clair")*'Critères et poids'!$G$5+(E30="Partiel")*'Critères et poids'!$G$5/2+(F30="Clair")*'Critères et poids'!$G$6+(F30="Partiel")*'Critères et poids'!$G$6/2+(G30="Clair")*'Critères et poids'!$G$7+(G30="Partiel")*'Critères et poids'!$G$7/2+(H30="Clair")*'Critères et poids'!$G$8+(H30="Partiel")*'Critères et poids'!$G$8/2)</f>
        <v/>
      </c>
      <c r="Q30" s="14">
        <f>IF($B30="","",(I30="Clair")*'Critères et poids'!$G$9+(I30="Partiel")*'Critères et poids'!$G$9/2+(J30="Clair")*'Critères et poids'!$G$10+(J30="Partiel")*'Critères et poids'!$G$10/2+(K30="Clair")*'Critères et poids'!$G$11+(K30="Partiel")*'Critères et poids'!$G$11/2+(L30="Clair")*'Critères et poids'!$G$12+(L30="Partiel")*'Critères et poids'!$G$12/2+(M30="Clair")*'Critères et poids'!$G$13+(M30="Partiel")*'Critères et poids'!$G$13/2)</f>
        <v/>
      </c>
      <c r="R30" s="14">
        <f>IF($B30="","",IFERROR(VLOOKUP(N30,'Critères et poids'!$B$17:$C$20,2,FALSE),0))</f>
        <v/>
      </c>
      <c r="S30" s="9">
        <f>IF($B30="","",MAX(0,P30+Q30+R30))</f>
        <v/>
      </c>
      <c r="T30" s="9">
        <f>IF($B30="","",IF(O30&lt;&gt;"","X",IF(S30&gt;='Critères et poids'!$C$29,"A",IF(S30&gt;='Critères et poids'!$C$30,"B","C"))))</f>
        <v/>
      </c>
      <c r="U30" s="14">
        <f>IF(T30="","",INDEX('Critères et poids'!$D$29:$D$32,MATCH(T30,'Critères et poids'!$A$29:$A$32,0)))</f>
        <v/>
      </c>
      <c r="V30" s="14">
        <f>IF(T30="","",INDEX('Critères et poids'!$F$29:$F$32,MATCH(T30,'Critères et poids'!$A$29:$A$32,0)))</f>
        <v/>
      </c>
      <c r="W30" s="15">
        <f>IF(OR(AH30="",AJ30=""),"",IF(AI30+AJ30*60&lt;=ROUND('Critères et poids'!$C$37*1440,0),INT(AH30)+(AI30+AJ30*60)/1440,WORKDAY(INT(AH30),1+INT((AI30+AJ30*60-ROUND('Critères et poids'!$C$37*1440,0)-1)/(ROUND('Critères et poids'!$C$37*1440,0)-ROUND('Critères et poids'!$C$36*1440,0))))+(ROUND('Critères et poids'!$C$36*1440,0)+AI30+AJ30*60-ROUND('Critères et poids'!$C$37*1440,0)-INT((AI30+AJ30*60-ROUND('Critères et poids'!$C$37*1440,0)-1)/(ROUND('Critères et poids'!$C$37*1440,0)-ROUND('Critères et poids'!$C$36*1440,0)))*(ROUND('Critères et poids'!$C$37*1440,0)-ROUND('Critères et poids'!$C$36*1440,0)))/1440))</f>
        <v/>
      </c>
      <c r="X30" s="16" t="n">
        <v>46296.40972222222</v>
      </c>
      <c r="Y30" s="14">
        <f>IF(W30="","",IF(X30="",IF(NOW()&gt;W30,"En retard","En attente"),IF(X30&lt;=W30,"À temps","En retard")))</f>
        <v/>
      </c>
      <c r="Z30" s="17" t="n"/>
      <c r="AA30" s="14">
        <f>IF($B30="","",IF(OR(T30="X",AD30&lt;&gt;""),0,MAX(0,MIN(Q30,'Critères et poids'!$C$38*INT((TODAY()-IF(Z30&lt;&gt;"",Z30,INT($A30)))/7)))))</f>
        <v/>
      </c>
      <c r="AB30" s="14">
        <f>IF($B30="","",MAX(0,S30-AA30))</f>
        <v/>
      </c>
      <c r="AC30" s="9">
        <f>IF($B30="","",IF(T30="X","X",IF(AB30&gt;='Critères et poids'!$C$29,"A",IF(AB30&gt;='Critères et poids'!$C$30,"B","C"))))</f>
        <v/>
      </c>
      <c r="AD30" s="4" t="inlineStr">
        <is>
          <t>Perdu</t>
        </is>
      </c>
      <c r="AE30" s="18" t="n"/>
      <c r="AF30" s="6" t="inlineStr">
        <is>
          <t>Voulait un prix fixe avant que nous voyions les comptes</t>
        </is>
      </c>
      <c r="AH30">
        <f>IF($A30="","",IF(OR(WEEKDAY($A30,2)&gt;5,ROUND(MOD($A30,1)*1440,0)&gt;=ROUND('Critères et poids'!$C$37*1440,0)),WORKDAY(INT($A30),1)+ROUND('Critères et poids'!$C$36*1440,0)/1440,IF(ROUND(MOD($A30,1)*1440,0)&lt;ROUND('Critères et poids'!$C$36*1440,0),INT($A30)+ROUND('Critères et poids'!$C$36*1440,0)/1440,$A30)))</f>
        <v/>
      </c>
      <c r="AI30">
        <f>IF(AH30="","",ROUND(MOD(AH30,1)*1440,0))</f>
        <v/>
      </c>
      <c r="AJ30">
        <f>IF(T30="","",INDEX('Critères et poids'!$E$29:$E$32,MATCH(T30,'Critères et poids'!$A$29:$A$32,0)))</f>
        <v/>
      </c>
    </row>
    <row r="31">
      <c r="A31" s="13" t="n">
        <v>46301.42638888889</v>
      </c>
      <c r="B31" s="6" t="inlineStr">
        <is>
          <t>Marisol V.</t>
        </is>
      </c>
      <c r="C31" s="6" t="inlineStr">
        <is>
          <t>Tallgrass Signs</t>
        </is>
      </c>
      <c r="D31" s="4" t="inlineStr">
        <is>
          <t>Chat du site</t>
        </is>
      </c>
      <c r="E31" s="4" t="inlineStr">
        <is>
          <t>Clair</t>
        </is>
      </c>
      <c r="F31" s="4" t="inlineStr">
        <is>
          <t>Clair</t>
        </is>
      </c>
      <c r="G31" s="4" t="inlineStr">
        <is>
          <t>Clair</t>
        </is>
      </c>
      <c r="H31" s="4" t="inlineStr">
        <is>
          <t>Partiel</t>
        </is>
      </c>
      <c r="I31" s="4" t="inlineStr">
        <is>
          <t>Clair</t>
        </is>
      </c>
      <c r="J31" s="4" t="inlineStr">
        <is>
          <t>Clair</t>
        </is>
      </c>
      <c r="K31" s="4" t="inlineStr">
        <is>
          <t>Partiel</t>
        </is>
      </c>
      <c r="L31" s="4" t="inlineStr">
        <is>
          <t>Partiel</t>
        </is>
      </c>
      <c r="M31" s="4" t="inlineStr">
        <is>
          <t>Clair</t>
        </is>
      </c>
      <c r="N31" s="6" t="n"/>
      <c r="O31" s="6" t="n"/>
      <c r="P31" s="14">
        <f>IF($B31="","",(E31="Clair")*'Critères et poids'!$G$5+(E31="Partiel")*'Critères et poids'!$G$5/2+(F31="Clair")*'Critères et poids'!$G$6+(F31="Partiel")*'Critères et poids'!$G$6/2+(G31="Clair")*'Critères et poids'!$G$7+(G31="Partiel")*'Critères et poids'!$G$7/2+(H31="Clair")*'Critères et poids'!$G$8+(H31="Partiel")*'Critères et poids'!$G$8/2)</f>
        <v/>
      </c>
      <c r="Q31" s="14">
        <f>IF($B31="","",(I31="Clair")*'Critères et poids'!$G$9+(I31="Partiel")*'Critères et poids'!$G$9/2+(J31="Clair")*'Critères et poids'!$G$10+(J31="Partiel")*'Critères et poids'!$G$10/2+(K31="Clair")*'Critères et poids'!$G$11+(K31="Partiel")*'Critères et poids'!$G$11/2+(L31="Clair")*'Critères et poids'!$G$12+(L31="Partiel")*'Critères et poids'!$G$12/2+(M31="Clair")*'Critères et poids'!$G$13+(M31="Partiel")*'Critères et poids'!$G$13/2)</f>
        <v/>
      </c>
      <c r="R31" s="14">
        <f>IF($B31="","",IFERROR(VLOOKUP(N31,'Critères et poids'!$B$17:$C$20,2,FALSE),0))</f>
        <v/>
      </c>
      <c r="S31" s="9">
        <f>IF($B31="","",MAX(0,P31+Q31+R31))</f>
        <v/>
      </c>
      <c r="T31" s="9">
        <f>IF($B31="","",IF(O31&lt;&gt;"","X",IF(S31&gt;='Critères et poids'!$C$29,"A",IF(S31&gt;='Critères et poids'!$C$30,"B","C"))))</f>
        <v/>
      </c>
      <c r="U31" s="14">
        <f>IF(T31="","",INDEX('Critères et poids'!$D$29:$D$32,MATCH(T31,'Critères et poids'!$A$29:$A$32,0)))</f>
        <v/>
      </c>
      <c r="V31" s="14">
        <f>IF(T31="","",INDEX('Critères et poids'!$F$29:$F$32,MATCH(T31,'Critères et poids'!$A$29:$A$32,0)))</f>
        <v/>
      </c>
      <c r="W31" s="15">
        <f>IF(OR(AH31="",AJ31=""),"",IF(AI31+AJ31*60&lt;=ROUND('Critères et poids'!$C$37*1440,0),INT(AH31)+(AI31+AJ31*60)/1440,WORKDAY(INT(AH31),1+INT((AI31+AJ31*60-ROUND('Critères et poids'!$C$37*1440,0)-1)/(ROUND('Critères et poids'!$C$37*1440,0)-ROUND('Critères et poids'!$C$36*1440,0))))+(ROUND('Critères et poids'!$C$36*1440,0)+AI31+AJ31*60-ROUND('Critères et poids'!$C$37*1440,0)-INT((AI31+AJ31*60-ROUND('Critères et poids'!$C$37*1440,0)-1)/(ROUND('Critères et poids'!$C$37*1440,0)-ROUND('Critères et poids'!$C$36*1440,0)))*(ROUND('Critères et poids'!$C$37*1440,0)-ROUND('Critères et poids'!$C$36*1440,0)))/1440))</f>
        <v/>
      </c>
      <c r="X31" s="16" t="n">
        <v>46301.44513888889</v>
      </c>
      <c r="Y31" s="14">
        <f>IF(W31="","",IF(X31="",IF(NOW()&gt;W31,"En retard","En attente"),IF(X31&lt;=W31,"À temps","En retard")))</f>
        <v/>
      </c>
      <c r="Z31" s="17" t="n">
        <v>46301</v>
      </c>
      <c r="AA31" s="14">
        <f>IF($B31="","",IF(OR(T31="X",AD31&lt;&gt;""),0,MAX(0,MIN(Q31,'Critères et poids'!$C$38*INT((TODAY()-IF(Z31&lt;&gt;"",Z31,INT($A31)))/7)))))</f>
        <v/>
      </c>
      <c r="AB31" s="14">
        <f>IF($B31="","",MAX(0,S31-AA31))</f>
        <v/>
      </c>
      <c r="AC31" s="9">
        <f>IF($B31="","",IF(T31="X","X",IF(AB31&gt;='Critères et poids'!$C$29,"A",IF(AB31&gt;='Critères et poids'!$C$30,"B","C"))))</f>
        <v/>
      </c>
      <c r="AD31" s="4" t="n"/>
      <c r="AE31" s="18" t="n"/>
      <c r="AF31" s="6" t="inlineStr">
        <is>
          <t>À demander : budget du rattrapage, Greg à l’appel, QuickBooks Online, nombre de personnes sur la paie. Appel jeudi 8 octobre, 10 h</t>
        </is>
      </c>
      <c r="AH31">
        <f>IF($A31="","",IF(OR(WEEKDAY($A31,2)&gt;5,ROUND(MOD($A31,1)*1440,0)&gt;=ROUND('Critères et poids'!$C$37*1440,0)),WORKDAY(INT($A31),1)+ROUND('Critères et poids'!$C$36*1440,0)/1440,IF(ROUND(MOD($A31,1)*1440,0)&lt;ROUND('Critères et poids'!$C$36*1440,0),INT($A31)+ROUND('Critères et poids'!$C$36*1440,0)/1440,$A31)))</f>
        <v/>
      </c>
      <c r="AI31">
        <f>IF(AH31="","",ROUND(MOD(AH31,1)*1440,0))</f>
        <v/>
      </c>
      <c r="AJ31">
        <f>IF(T31="","",INDEX('Critères et poids'!$E$29:$E$32,MATCH(T31,'Critères et poids'!$A$29:$A$32,0)))</f>
        <v/>
      </c>
    </row>
    <row r="32">
      <c r="A32" s="13" t="n"/>
      <c r="B32" s="6" t="n"/>
      <c r="C32" s="6" t="n"/>
      <c r="D32" s="4" t="n"/>
      <c r="E32" s="4" t="n"/>
      <c r="F32" s="4" t="n"/>
      <c r="G32" s="4" t="n"/>
      <c r="H32" s="4" t="n"/>
      <c r="I32" s="4" t="n"/>
      <c r="J32" s="4" t="n"/>
      <c r="K32" s="4" t="n"/>
      <c r="L32" s="4" t="n"/>
      <c r="M32" s="4" t="n"/>
      <c r="N32" s="6" t="n"/>
      <c r="O32" s="6" t="n"/>
      <c r="P32" s="14">
        <f>IF($B32="","",(E32="Clair")*'Critères et poids'!$G$5+(E32="Partiel")*'Critères et poids'!$G$5/2+(F32="Clair")*'Critères et poids'!$G$6+(F32="Partiel")*'Critères et poids'!$G$6/2+(G32="Clair")*'Critères et poids'!$G$7+(G32="Partiel")*'Critères et poids'!$G$7/2+(H32="Clair")*'Critères et poids'!$G$8+(H32="Partiel")*'Critères et poids'!$G$8/2)</f>
        <v/>
      </c>
      <c r="Q32" s="14">
        <f>IF($B32="","",(I32="Clair")*'Critères et poids'!$G$9+(I32="Partiel")*'Critères et poids'!$G$9/2+(J32="Clair")*'Critères et poids'!$G$10+(J32="Partiel")*'Critères et poids'!$G$10/2+(K32="Clair")*'Critères et poids'!$G$11+(K32="Partiel")*'Critères et poids'!$G$11/2+(L32="Clair")*'Critères et poids'!$G$12+(L32="Partiel")*'Critères et poids'!$G$12/2+(M32="Clair")*'Critères et poids'!$G$13+(M32="Partiel")*'Critères et poids'!$G$13/2)</f>
        <v/>
      </c>
      <c r="R32" s="14">
        <f>IF($B32="","",IFERROR(VLOOKUP(N32,'Critères et poids'!$B$17:$C$20,2,FALSE),0))</f>
        <v/>
      </c>
      <c r="S32" s="9">
        <f>IF($B32="","",MAX(0,P32+Q32+R32))</f>
        <v/>
      </c>
      <c r="T32" s="9">
        <f>IF($B32="","",IF(O32&lt;&gt;"","X",IF(S32&gt;='Critères et poids'!$C$29,"A",IF(S32&gt;='Critères et poids'!$C$30,"B","C"))))</f>
        <v/>
      </c>
      <c r="U32" s="14">
        <f>IF(T32="","",INDEX('Critères et poids'!$D$29:$D$32,MATCH(T32,'Critères et poids'!$A$29:$A$32,0)))</f>
        <v/>
      </c>
      <c r="V32" s="14">
        <f>IF(T32="","",INDEX('Critères et poids'!$F$29:$F$32,MATCH(T32,'Critères et poids'!$A$29:$A$32,0)))</f>
        <v/>
      </c>
      <c r="W32" s="15">
        <f>IF(OR(AH32="",AJ32=""),"",IF(AI32+AJ32*60&lt;=ROUND('Critères et poids'!$C$37*1440,0),INT(AH32)+(AI32+AJ32*60)/1440,WORKDAY(INT(AH32),1+INT((AI32+AJ32*60-ROUND('Critères et poids'!$C$37*1440,0)-1)/(ROUND('Critères et poids'!$C$37*1440,0)-ROUND('Critères et poids'!$C$36*1440,0))))+(ROUND('Critères et poids'!$C$36*1440,0)+AI32+AJ32*60-ROUND('Critères et poids'!$C$37*1440,0)-INT((AI32+AJ32*60-ROUND('Critères et poids'!$C$37*1440,0)-1)/(ROUND('Critères et poids'!$C$37*1440,0)-ROUND('Critères et poids'!$C$36*1440,0)))*(ROUND('Critères et poids'!$C$37*1440,0)-ROUND('Critères et poids'!$C$36*1440,0)))/1440))</f>
        <v/>
      </c>
      <c r="X32" s="16" t="n"/>
      <c r="Y32" s="14">
        <f>IF(W32="","",IF(X32="",IF(NOW()&gt;W32,"En retard","En attente"),IF(X32&lt;=W32,"À temps","En retard")))</f>
        <v/>
      </c>
      <c r="Z32" s="17" t="n"/>
      <c r="AA32" s="14">
        <f>IF($B32="","",IF(OR(T32="X",AD32&lt;&gt;""),0,MAX(0,MIN(Q32,'Critères et poids'!$C$38*INT((TODAY()-IF(Z32&lt;&gt;"",Z32,INT($A32)))/7)))))</f>
        <v/>
      </c>
      <c r="AB32" s="14">
        <f>IF($B32="","",MAX(0,S32-AA32))</f>
        <v/>
      </c>
      <c r="AC32" s="9">
        <f>IF($B32="","",IF(T32="X","X",IF(AB32&gt;='Critères et poids'!$C$29,"A",IF(AB32&gt;='Critères et poids'!$C$30,"B","C"))))</f>
        <v/>
      </c>
      <c r="AD32" s="4" t="n"/>
      <c r="AE32" s="18" t="n"/>
      <c r="AF32" s="6" t="n"/>
      <c r="AH32">
        <f>IF($A32="","",IF(OR(WEEKDAY($A32,2)&gt;5,ROUND(MOD($A32,1)*1440,0)&gt;=ROUND('Critères et poids'!$C$37*1440,0)),WORKDAY(INT($A32),1)+ROUND('Critères et poids'!$C$36*1440,0)/1440,IF(ROUND(MOD($A32,1)*1440,0)&lt;ROUND('Critères et poids'!$C$36*1440,0),INT($A32)+ROUND('Critères et poids'!$C$36*1440,0)/1440,$A32)))</f>
        <v/>
      </c>
      <c r="AI32">
        <f>IF(AH32="","",ROUND(MOD(AH32,1)*1440,0))</f>
        <v/>
      </c>
      <c r="AJ32">
        <f>IF(T32="","",INDEX('Critères et poids'!$E$29:$E$32,MATCH(T32,'Critères et poids'!$A$29:$A$32,0)))</f>
        <v/>
      </c>
    </row>
    <row r="33">
      <c r="A33" s="13" t="n"/>
      <c r="B33" s="6" t="n"/>
      <c r="C33" s="6" t="n"/>
      <c r="D33" s="4" t="n"/>
      <c r="E33" s="4" t="n"/>
      <c r="F33" s="4" t="n"/>
      <c r="G33" s="4" t="n"/>
      <c r="H33" s="4" t="n"/>
      <c r="I33" s="4" t="n"/>
      <c r="J33" s="4" t="n"/>
      <c r="K33" s="4" t="n"/>
      <c r="L33" s="4" t="n"/>
      <c r="M33" s="4" t="n"/>
      <c r="N33" s="6" t="n"/>
      <c r="O33" s="6" t="n"/>
      <c r="P33" s="14">
        <f>IF($B33="","",(E33="Clair")*'Critères et poids'!$G$5+(E33="Partiel")*'Critères et poids'!$G$5/2+(F33="Clair")*'Critères et poids'!$G$6+(F33="Partiel")*'Critères et poids'!$G$6/2+(G33="Clair")*'Critères et poids'!$G$7+(G33="Partiel")*'Critères et poids'!$G$7/2+(H33="Clair")*'Critères et poids'!$G$8+(H33="Partiel")*'Critères et poids'!$G$8/2)</f>
        <v/>
      </c>
      <c r="Q33" s="14">
        <f>IF($B33="","",(I33="Clair")*'Critères et poids'!$G$9+(I33="Partiel")*'Critères et poids'!$G$9/2+(J33="Clair")*'Critères et poids'!$G$10+(J33="Partiel")*'Critères et poids'!$G$10/2+(K33="Clair")*'Critères et poids'!$G$11+(K33="Partiel")*'Critères et poids'!$G$11/2+(L33="Clair")*'Critères et poids'!$G$12+(L33="Partiel")*'Critères et poids'!$G$12/2+(M33="Clair")*'Critères et poids'!$G$13+(M33="Partiel")*'Critères et poids'!$G$13/2)</f>
        <v/>
      </c>
      <c r="R33" s="14">
        <f>IF($B33="","",IFERROR(VLOOKUP(N33,'Critères et poids'!$B$17:$C$20,2,FALSE),0))</f>
        <v/>
      </c>
      <c r="S33" s="9">
        <f>IF($B33="","",MAX(0,P33+Q33+R33))</f>
        <v/>
      </c>
      <c r="T33" s="9">
        <f>IF($B33="","",IF(O33&lt;&gt;"","X",IF(S33&gt;='Critères et poids'!$C$29,"A",IF(S33&gt;='Critères et poids'!$C$30,"B","C"))))</f>
        <v/>
      </c>
      <c r="U33" s="14">
        <f>IF(T33="","",INDEX('Critères et poids'!$D$29:$D$32,MATCH(T33,'Critères et poids'!$A$29:$A$32,0)))</f>
        <v/>
      </c>
      <c r="V33" s="14">
        <f>IF(T33="","",INDEX('Critères et poids'!$F$29:$F$32,MATCH(T33,'Critères et poids'!$A$29:$A$32,0)))</f>
        <v/>
      </c>
      <c r="W33" s="15">
        <f>IF(OR(AH33="",AJ33=""),"",IF(AI33+AJ33*60&lt;=ROUND('Critères et poids'!$C$37*1440,0),INT(AH33)+(AI33+AJ33*60)/1440,WORKDAY(INT(AH33),1+INT((AI33+AJ33*60-ROUND('Critères et poids'!$C$37*1440,0)-1)/(ROUND('Critères et poids'!$C$37*1440,0)-ROUND('Critères et poids'!$C$36*1440,0))))+(ROUND('Critères et poids'!$C$36*1440,0)+AI33+AJ33*60-ROUND('Critères et poids'!$C$37*1440,0)-INT((AI33+AJ33*60-ROUND('Critères et poids'!$C$37*1440,0)-1)/(ROUND('Critères et poids'!$C$37*1440,0)-ROUND('Critères et poids'!$C$36*1440,0)))*(ROUND('Critères et poids'!$C$37*1440,0)-ROUND('Critères et poids'!$C$36*1440,0)))/1440))</f>
        <v/>
      </c>
      <c r="X33" s="16" t="n"/>
      <c r="Y33" s="14">
        <f>IF(W33="","",IF(X33="",IF(NOW()&gt;W33,"En retard","En attente"),IF(X33&lt;=W33,"À temps","En retard")))</f>
        <v/>
      </c>
      <c r="Z33" s="17" t="n"/>
      <c r="AA33" s="14">
        <f>IF($B33="","",IF(OR(T33="X",AD33&lt;&gt;""),0,MAX(0,MIN(Q33,'Critères et poids'!$C$38*INT((TODAY()-IF(Z33&lt;&gt;"",Z33,INT($A33)))/7)))))</f>
        <v/>
      </c>
      <c r="AB33" s="14">
        <f>IF($B33="","",MAX(0,S33-AA33))</f>
        <v/>
      </c>
      <c r="AC33" s="9">
        <f>IF($B33="","",IF(T33="X","X",IF(AB33&gt;='Critères et poids'!$C$29,"A",IF(AB33&gt;='Critères et poids'!$C$30,"B","C"))))</f>
        <v/>
      </c>
      <c r="AD33" s="4" t="n"/>
      <c r="AE33" s="18" t="n"/>
      <c r="AF33" s="6" t="n"/>
      <c r="AH33">
        <f>IF($A33="","",IF(OR(WEEKDAY($A33,2)&gt;5,ROUND(MOD($A33,1)*1440,0)&gt;=ROUND('Critères et poids'!$C$37*1440,0)),WORKDAY(INT($A33),1)+ROUND('Critères et poids'!$C$36*1440,0)/1440,IF(ROUND(MOD($A33,1)*1440,0)&lt;ROUND('Critères et poids'!$C$36*1440,0),INT($A33)+ROUND('Critères et poids'!$C$36*1440,0)/1440,$A33)))</f>
        <v/>
      </c>
      <c r="AI33">
        <f>IF(AH33="","",ROUND(MOD(AH33,1)*1440,0))</f>
        <v/>
      </c>
      <c r="AJ33">
        <f>IF(T33="","",INDEX('Critères et poids'!$E$29:$E$32,MATCH(T33,'Critères et poids'!$A$29:$A$32,0)))</f>
        <v/>
      </c>
    </row>
    <row r="34">
      <c r="A34" s="13" t="n"/>
      <c r="B34" s="6" t="n"/>
      <c r="C34" s="6" t="n"/>
      <c r="D34" s="4" t="n"/>
      <c r="E34" s="4" t="n"/>
      <c r="F34" s="4" t="n"/>
      <c r="G34" s="4" t="n"/>
      <c r="H34" s="4" t="n"/>
      <c r="I34" s="4" t="n"/>
      <c r="J34" s="4" t="n"/>
      <c r="K34" s="4" t="n"/>
      <c r="L34" s="4" t="n"/>
      <c r="M34" s="4" t="n"/>
      <c r="N34" s="6" t="n"/>
      <c r="O34" s="6" t="n"/>
      <c r="P34" s="14">
        <f>IF($B34="","",(E34="Clair")*'Critères et poids'!$G$5+(E34="Partiel")*'Critères et poids'!$G$5/2+(F34="Clair")*'Critères et poids'!$G$6+(F34="Partiel")*'Critères et poids'!$G$6/2+(G34="Clair")*'Critères et poids'!$G$7+(G34="Partiel")*'Critères et poids'!$G$7/2+(H34="Clair")*'Critères et poids'!$G$8+(H34="Partiel")*'Critères et poids'!$G$8/2)</f>
        <v/>
      </c>
      <c r="Q34" s="14">
        <f>IF($B34="","",(I34="Clair")*'Critères et poids'!$G$9+(I34="Partiel")*'Critères et poids'!$G$9/2+(J34="Clair")*'Critères et poids'!$G$10+(J34="Partiel")*'Critères et poids'!$G$10/2+(K34="Clair")*'Critères et poids'!$G$11+(K34="Partiel")*'Critères et poids'!$G$11/2+(L34="Clair")*'Critères et poids'!$G$12+(L34="Partiel")*'Critères et poids'!$G$12/2+(M34="Clair")*'Critères et poids'!$G$13+(M34="Partiel")*'Critères et poids'!$G$13/2)</f>
        <v/>
      </c>
      <c r="R34" s="14">
        <f>IF($B34="","",IFERROR(VLOOKUP(N34,'Critères et poids'!$B$17:$C$20,2,FALSE),0))</f>
        <v/>
      </c>
      <c r="S34" s="9">
        <f>IF($B34="","",MAX(0,P34+Q34+R34))</f>
        <v/>
      </c>
      <c r="T34" s="9">
        <f>IF($B34="","",IF(O34&lt;&gt;"","X",IF(S34&gt;='Critères et poids'!$C$29,"A",IF(S34&gt;='Critères et poids'!$C$30,"B","C"))))</f>
        <v/>
      </c>
      <c r="U34" s="14">
        <f>IF(T34="","",INDEX('Critères et poids'!$D$29:$D$32,MATCH(T34,'Critères et poids'!$A$29:$A$32,0)))</f>
        <v/>
      </c>
      <c r="V34" s="14">
        <f>IF(T34="","",INDEX('Critères et poids'!$F$29:$F$32,MATCH(T34,'Critères et poids'!$A$29:$A$32,0)))</f>
        <v/>
      </c>
      <c r="W34" s="15">
        <f>IF(OR(AH34="",AJ34=""),"",IF(AI34+AJ34*60&lt;=ROUND('Critères et poids'!$C$37*1440,0),INT(AH34)+(AI34+AJ34*60)/1440,WORKDAY(INT(AH34),1+INT((AI34+AJ34*60-ROUND('Critères et poids'!$C$37*1440,0)-1)/(ROUND('Critères et poids'!$C$37*1440,0)-ROUND('Critères et poids'!$C$36*1440,0))))+(ROUND('Critères et poids'!$C$36*1440,0)+AI34+AJ34*60-ROUND('Critères et poids'!$C$37*1440,0)-INT((AI34+AJ34*60-ROUND('Critères et poids'!$C$37*1440,0)-1)/(ROUND('Critères et poids'!$C$37*1440,0)-ROUND('Critères et poids'!$C$36*1440,0)))*(ROUND('Critères et poids'!$C$37*1440,0)-ROUND('Critères et poids'!$C$36*1440,0)))/1440))</f>
        <v/>
      </c>
      <c r="X34" s="16" t="n"/>
      <c r="Y34" s="14">
        <f>IF(W34="","",IF(X34="",IF(NOW()&gt;W34,"En retard","En attente"),IF(X34&lt;=W34,"À temps","En retard")))</f>
        <v/>
      </c>
      <c r="Z34" s="17" t="n"/>
      <c r="AA34" s="14">
        <f>IF($B34="","",IF(OR(T34="X",AD34&lt;&gt;""),0,MAX(0,MIN(Q34,'Critères et poids'!$C$38*INT((TODAY()-IF(Z34&lt;&gt;"",Z34,INT($A34)))/7)))))</f>
        <v/>
      </c>
      <c r="AB34" s="14">
        <f>IF($B34="","",MAX(0,S34-AA34))</f>
        <v/>
      </c>
      <c r="AC34" s="9">
        <f>IF($B34="","",IF(T34="X","X",IF(AB34&gt;='Critères et poids'!$C$29,"A",IF(AB34&gt;='Critères et poids'!$C$30,"B","C"))))</f>
        <v/>
      </c>
      <c r="AD34" s="4" t="n"/>
      <c r="AE34" s="18" t="n"/>
      <c r="AF34" s="6" t="n"/>
      <c r="AH34">
        <f>IF($A34="","",IF(OR(WEEKDAY($A34,2)&gt;5,ROUND(MOD($A34,1)*1440,0)&gt;=ROUND('Critères et poids'!$C$37*1440,0)),WORKDAY(INT($A34),1)+ROUND('Critères et poids'!$C$36*1440,0)/1440,IF(ROUND(MOD($A34,1)*1440,0)&lt;ROUND('Critères et poids'!$C$36*1440,0),INT($A34)+ROUND('Critères et poids'!$C$36*1440,0)/1440,$A34)))</f>
        <v/>
      </c>
      <c r="AI34">
        <f>IF(AH34="","",ROUND(MOD(AH34,1)*1440,0))</f>
        <v/>
      </c>
      <c r="AJ34">
        <f>IF(T34="","",INDEX('Critères et poids'!$E$29:$E$32,MATCH(T34,'Critères et poids'!$A$29:$A$32,0)))</f>
        <v/>
      </c>
    </row>
    <row r="35">
      <c r="A35" s="13" t="n"/>
      <c r="B35" s="6" t="n"/>
      <c r="C35" s="6" t="n"/>
      <c r="D35" s="4" t="n"/>
      <c r="E35" s="4" t="n"/>
      <c r="F35" s="4" t="n"/>
      <c r="G35" s="4" t="n"/>
      <c r="H35" s="4" t="n"/>
      <c r="I35" s="4" t="n"/>
      <c r="J35" s="4" t="n"/>
      <c r="K35" s="4" t="n"/>
      <c r="L35" s="4" t="n"/>
      <c r="M35" s="4" t="n"/>
      <c r="N35" s="6" t="n"/>
      <c r="O35" s="6" t="n"/>
      <c r="P35" s="14">
        <f>IF($B35="","",(E35="Clair")*'Critères et poids'!$G$5+(E35="Partiel")*'Critères et poids'!$G$5/2+(F35="Clair")*'Critères et poids'!$G$6+(F35="Partiel")*'Critères et poids'!$G$6/2+(G35="Clair")*'Critères et poids'!$G$7+(G35="Partiel")*'Critères et poids'!$G$7/2+(H35="Clair")*'Critères et poids'!$G$8+(H35="Partiel")*'Critères et poids'!$G$8/2)</f>
        <v/>
      </c>
      <c r="Q35" s="14">
        <f>IF($B35="","",(I35="Clair")*'Critères et poids'!$G$9+(I35="Partiel")*'Critères et poids'!$G$9/2+(J35="Clair")*'Critères et poids'!$G$10+(J35="Partiel")*'Critères et poids'!$G$10/2+(K35="Clair")*'Critères et poids'!$G$11+(K35="Partiel")*'Critères et poids'!$G$11/2+(L35="Clair")*'Critères et poids'!$G$12+(L35="Partiel")*'Critères et poids'!$G$12/2+(M35="Clair")*'Critères et poids'!$G$13+(M35="Partiel")*'Critères et poids'!$G$13/2)</f>
        <v/>
      </c>
      <c r="R35" s="14">
        <f>IF($B35="","",IFERROR(VLOOKUP(N35,'Critères et poids'!$B$17:$C$20,2,FALSE),0))</f>
        <v/>
      </c>
      <c r="S35" s="9">
        <f>IF($B35="","",MAX(0,P35+Q35+R35))</f>
        <v/>
      </c>
      <c r="T35" s="9">
        <f>IF($B35="","",IF(O35&lt;&gt;"","X",IF(S35&gt;='Critères et poids'!$C$29,"A",IF(S35&gt;='Critères et poids'!$C$30,"B","C"))))</f>
        <v/>
      </c>
      <c r="U35" s="14">
        <f>IF(T35="","",INDEX('Critères et poids'!$D$29:$D$32,MATCH(T35,'Critères et poids'!$A$29:$A$32,0)))</f>
        <v/>
      </c>
      <c r="V35" s="14">
        <f>IF(T35="","",INDEX('Critères et poids'!$F$29:$F$32,MATCH(T35,'Critères et poids'!$A$29:$A$32,0)))</f>
        <v/>
      </c>
      <c r="W35" s="15">
        <f>IF(OR(AH35="",AJ35=""),"",IF(AI35+AJ35*60&lt;=ROUND('Critères et poids'!$C$37*1440,0),INT(AH35)+(AI35+AJ35*60)/1440,WORKDAY(INT(AH35),1+INT((AI35+AJ35*60-ROUND('Critères et poids'!$C$37*1440,0)-1)/(ROUND('Critères et poids'!$C$37*1440,0)-ROUND('Critères et poids'!$C$36*1440,0))))+(ROUND('Critères et poids'!$C$36*1440,0)+AI35+AJ35*60-ROUND('Critères et poids'!$C$37*1440,0)-INT((AI35+AJ35*60-ROUND('Critères et poids'!$C$37*1440,0)-1)/(ROUND('Critères et poids'!$C$37*1440,0)-ROUND('Critères et poids'!$C$36*1440,0)))*(ROUND('Critères et poids'!$C$37*1440,0)-ROUND('Critères et poids'!$C$36*1440,0)))/1440))</f>
        <v/>
      </c>
      <c r="X35" s="16" t="n"/>
      <c r="Y35" s="14">
        <f>IF(W35="","",IF(X35="",IF(NOW()&gt;W35,"En retard","En attente"),IF(X35&lt;=W35,"À temps","En retard")))</f>
        <v/>
      </c>
      <c r="Z35" s="17" t="n"/>
      <c r="AA35" s="14">
        <f>IF($B35="","",IF(OR(T35="X",AD35&lt;&gt;""),0,MAX(0,MIN(Q35,'Critères et poids'!$C$38*INT((TODAY()-IF(Z35&lt;&gt;"",Z35,INT($A35)))/7)))))</f>
        <v/>
      </c>
      <c r="AB35" s="14">
        <f>IF($B35="","",MAX(0,S35-AA35))</f>
        <v/>
      </c>
      <c r="AC35" s="9">
        <f>IF($B35="","",IF(T35="X","X",IF(AB35&gt;='Critères et poids'!$C$29,"A",IF(AB35&gt;='Critères et poids'!$C$30,"B","C"))))</f>
        <v/>
      </c>
      <c r="AD35" s="4" t="n"/>
      <c r="AE35" s="18" t="n"/>
      <c r="AF35" s="6" t="n"/>
      <c r="AH35">
        <f>IF($A35="","",IF(OR(WEEKDAY($A35,2)&gt;5,ROUND(MOD($A35,1)*1440,0)&gt;=ROUND('Critères et poids'!$C$37*1440,0)),WORKDAY(INT($A35),1)+ROUND('Critères et poids'!$C$36*1440,0)/1440,IF(ROUND(MOD($A35,1)*1440,0)&lt;ROUND('Critères et poids'!$C$36*1440,0),INT($A35)+ROUND('Critères et poids'!$C$36*1440,0)/1440,$A35)))</f>
        <v/>
      </c>
      <c r="AI35">
        <f>IF(AH35="","",ROUND(MOD(AH35,1)*1440,0))</f>
        <v/>
      </c>
      <c r="AJ35">
        <f>IF(T35="","",INDEX('Critères et poids'!$E$29:$E$32,MATCH(T35,'Critères et poids'!$A$29:$A$32,0)))</f>
        <v/>
      </c>
    </row>
    <row r="36">
      <c r="A36" s="13" t="n"/>
      <c r="B36" s="6" t="n"/>
      <c r="C36" s="6" t="n"/>
      <c r="D36" s="4" t="n"/>
      <c r="E36" s="4" t="n"/>
      <c r="F36" s="4" t="n"/>
      <c r="G36" s="4" t="n"/>
      <c r="H36" s="4" t="n"/>
      <c r="I36" s="4" t="n"/>
      <c r="J36" s="4" t="n"/>
      <c r="K36" s="4" t="n"/>
      <c r="L36" s="4" t="n"/>
      <c r="M36" s="4" t="n"/>
      <c r="N36" s="6" t="n"/>
      <c r="O36" s="6" t="n"/>
      <c r="P36" s="14">
        <f>IF($B36="","",(E36="Clair")*'Critères et poids'!$G$5+(E36="Partiel")*'Critères et poids'!$G$5/2+(F36="Clair")*'Critères et poids'!$G$6+(F36="Partiel")*'Critères et poids'!$G$6/2+(G36="Clair")*'Critères et poids'!$G$7+(G36="Partiel")*'Critères et poids'!$G$7/2+(H36="Clair")*'Critères et poids'!$G$8+(H36="Partiel")*'Critères et poids'!$G$8/2)</f>
        <v/>
      </c>
      <c r="Q36" s="14">
        <f>IF($B36="","",(I36="Clair")*'Critères et poids'!$G$9+(I36="Partiel")*'Critères et poids'!$G$9/2+(J36="Clair")*'Critères et poids'!$G$10+(J36="Partiel")*'Critères et poids'!$G$10/2+(K36="Clair")*'Critères et poids'!$G$11+(K36="Partiel")*'Critères et poids'!$G$11/2+(L36="Clair")*'Critères et poids'!$G$12+(L36="Partiel")*'Critères et poids'!$G$12/2+(M36="Clair")*'Critères et poids'!$G$13+(M36="Partiel")*'Critères et poids'!$G$13/2)</f>
        <v/>
      </c>
      <c r="R36" s="14">
        <f>IF($B36="","",IFERROR(VLOOKUP(N36,'Critères et poids'!$B$17:$C$20,2,FALSE),0))</f>
        <v/>
      </c>
      <c r="S36" s="9">
        <f>IF($B36="","",MAX(0,P36+Q36+R36))</f>
        <v/>
      </c>
      <c r="T36" s="9">
        <f>IF($B36="","",IF(O36&lt;&gt;"","X",IF(S36&gt;='Critères et poids'!$C$29,"A",IF(S36&gt;='Critères et poids'!$C$30,"B","C"))))</f>
        <v/>
      </c>
      <c r="U36" s="14">
        <f>IF(T36="","",INDEX('Critères et poids'!$D$29:$D$32,MATCH(T36,'Critères et poids'!$A$29:$A$32,0)))</f>
        <v/>
      </c>
      <c r="V36" s="14">
        <f>IF(T36="","",INDEX('Critères et poids'!$F$29:$F$32,MATCH(T36,'Critères et poids'!$A$29:$A$32,0)))</f>
        <v/>
      </c>
      <c r="W36" s="15">
        <f>IF(OR(AH36="",AJ36=""),"",IF(AI36+AJ36*60&lt;=ROUND('Critères et poids'!$C$37*1440,0),INT(AH36)+(AI36+AJ36*60)/1440,WORKDAY(INT(AH36),1+INT((AI36+AJ36*60-ROUND('Critères et poids'!$C$37*1440,0)-1)/(ROUND('Critères et poids'!$C$37*1440,0)-ROUND('Critères et poids'!$C$36*1440,0))))+(ROUND('Critères et poids'!$C$36*1440,0)+AI36+AJ36*60-ROUND('Critères et poids'!$C$37*1440,0)-INT((AI36+AJ36*60-ROUND('Critères et poids'!$C$37*1440,0)-1)/(ROUND('Critères et poids'!$C$37*1440,0)-ROUND('Critères et poids'!$C$36*1440,0)))*(ROUND('Critères et poids'!$C$37*1440,0)-ROUND('Critères et poids'!$C$36*1440,0)))/1440))</f>
        <v/>
      </c>
      <c r="X36" s="16" t="n"/>
      <c r="Y36" s="14">
        <f>IF(W36="","",IF(X36="",IF(NOW()&gt;W36,"En retard","En attente"),IF(X36&lt;=W36,"À temps","En retard")))</f>
        <v/>
      </c>
      <c r="Z36" s="17" t="n"/>
      <c r="AA36" s="14">
        <f>IF($B36="","",IF(OR(T36="X",AD36&lt;&gt;""),0,MAX(0,MIN(Q36,'Critères et poids'!$C$38*INT((TODAY()-IF(Z36&lt;&gt;"",Z36,INT($A36)))/7)))))</f>
        <v/>
      </c>
      <c r="AB36" s="14">
        <f>IF($B36="","",MAX(0,S36-AA36))</f>
        <v/>
      </c>
      <c r="AC36" s="9">
        <f>IF($B36="","",IF(T36="X","X",IF(AB36&gt;='Critères et poids'!$C$29,"A",IF(AB36&gt;='Critères et poids'!$C$30,"B","C"))))</f>
        <v/>
      </c>
      <c r="AD36" s="4" t="n"/>
      <c r="AE36" s="18" t="n"/>
      <c r="AF36" s="6" t="n"/>
      <c r="AH36">
        <f>IF($A36="","",IF(OR(WEEKDAY($A36,2)&gt;5,ROUND(MOD($A36,1)*1440,0)&gt;=ROUND('Critères et poids'!$C$37*1440,0)),WORKDAY(INT($A36),1)+ROUND('Critères et poids'!$C$36*1440,0)/1440,IF(ROUND(MOD($A36,1)*1440,0)&lt;ROUND('Critères et poids'!$C$36*1440,0),INT($A36)+ROUND('Critères et poids'!$C$36*1440,0)/1440,$A36)))</f>
        <v/>
      </c>
      <c r="AI36">
        <f>IF(AH36="","",ROUND(MOD(AH36,1)*1440,0))</f>
        <v/>
      </c>
      <c r="AJ36">
        <f>IF(T36="","",INDEX('Critères et poids'!$E$29:$E$32,MATCH(T36,'Critères et poids'!$A$29:$A$32,0)))</f>
        <v/>
      </c>
    </row>
    <row r="37">
      <c r="A37" s="13" t="n"/>
      <c r="B37" s="6" t="n"/>
      <c r="C37" s="6" t="n"/>
      <c r="D37" s="4" t="n"/>
      <c r="E37" s="4" t="n"/>
      <c r="F37" s="4" t="n"/>
      <c r="G37" s="4" t="n"/>
      <c r="H37" s="4" t="n"/>
      <c r="I37" s="4" t="n"/>
      <c r="J37" s="4" t="n"/>
      <c r="K37" s="4" t="n"/>
      <c r="L37" s="4" t="n"/>
      <c r="M37" s="4" t="n"/>
      <c r="N37" s="6" t="n"/>
      <c r="O37" s="6" t="n"/>
      <c r="P37" s="14">
        <f>IF($B37="","",(E37="Clair")*'Critères et poids'!$G$5+(E37="Partiel")*'Critères et poids'!$G$5/2+(F37="Clair")*'Critères et poids'!$G$6+(F37="Partiel")*'Critères et poids'!$G$6/2+(G37="Clair")*'Critères et poids'!$G$7+(G37="Partiel")*'Critères et poids'!$G$7/2+(H37="Clair")*'Critères et poids'!$G$8+(H37="Partiel")*'Critères et poids'!$G$8/2)</f>
        <v/>
      </c>
      <c r="Q37" s="14">
        <f>IF($B37="","",(I37="Clair")*'Critères et poids'!$G$9+(I37="Partiel")*'Critères et poids'!$G$9/2+(J37="Clair")*'Critères et poids'!$G$10+(J37="Partiel")*'Critères et poids'!$G$10/2+(K37="Clair")*'Critères et poids'!$G$11+(K37="Partiel")*'Critères et poids'!$G$11/2+(L37="Clair")*'Critères et poids'!$G$12+(L37="Partiel")*'Critères et poids'!$G$12/2+(M37="Clair")*'Critères et poids'!$G$13+(M37="Partiel")*'Critères et poids'!$G$13/2)</f>
        <v/>
      </c>
      <c r="R37" s="14">
        <f>IF($B37="","",IFERROR(VLOOKUP(N37,'Critères et poids'!$B$17:$C$20,2,FALSE),0))</f>
        <v/>
      </c>
      <c r="S37" s="9">
        <f>IF($B37="","",MAX(0,P37+Q37+R37))</f>
        <v/>
      </c>
      <c r="T37" s="9">
        <f>IF($B37="","",IF(O37&lt;&gt;"","X",IF(S37&gt;='Critères et poids'!$C$29,"A",IF(S37&gt;='Critères et poids'!$C$30,"B","C"))))</f>
        <v/>
      </c>
      <c r="U37" s="14">
        <f>IF(T37="","",INDEX('Critères et poids'!$D$29:$D$32,MATCH(T37,'Critères et poids'!$A$29:$A$32,0)))</f>
        <v/>
      </c>
      <c r="V37" s="14">
        <f>IF(T37="","",INDEX('Critères et poids'!$F$29:$F$32,MATCH(T37,'Critères et poids'!$A$29:$A$32,0)))</f>
        <v/>
      </c>
      <c r="W37" s="15">
        <f>IF(OR(AH37="",AJ37=""),"",IF(AI37+AJ37*60&lt;=ROUND('Critères et poids'!$C$37*1440,0),INT(AH37)+(AI37+AJ37*60)/1440,WORKDAY(INT(AH37),1+INT((AI37+AJ37*60-ROUND('Critères et poids'!$C$37*1440,0)-1)/(ROUND('Critères et poids'!$C$37*1440,0)-ROUND('Critères et poids'!$C$36*1440,0))))+(ROUND('Critères et poids'!$C$36*1440,0)+AI37+AJ37*60-ROUND('Critères et poids'!$C$37*1440,0)-INT((AI37+AJ37*60-ROUND('Critères et poids'!$C$37*1440,0)-1)/(ROUND('Critères et poids'!$C$37*1440,0)-ROUND('Critères et poids'!$C$36*1440,0)))*(ROUND('Critères et poids'!$C$37*1440,0)-ROUND('Critères et poids'!$C$36*1440,0)))/1440))</f>
        <v/>
      </c>
      <c r="X37" s="16" t="n"/>
      <c r="Y37" s="14">
        <f>IF(W37="","",IF(X37="",IF(NOW()&gt;W37,"En retard","En attente"),IF(X37&lt;=W37,"À temps","En retard")))</f>
        <v/>
      </c>
      <c r="Z37" s="17" t="n"/>
      <c r="AA37" s="14">
        <f>IF($B37="","",IF(OR(T37="X",AD37&lt;&gt;""),0,MAX(0,MIN(Q37,'Critères et poids'!$C$38*INT((TODAY()-IF(Z37&lt;&gt;"",Z37,INT($A37)))/7)))))</f>
        <v/>
      </c>
      <c r="AB37" s="14">
        <f>IF($B37="","",MAX(0,S37-AA37))</f>
        <v/>
      </c>
      <c r="AC37" s="9">
        <f>IF($B37="","",IF(T37="X","X",IF(AB37&gt;='Critères et poids'!$C$29,"A",IF(AB37&gt;='Critères et poids'!$C$30,"B","C"))))</f>
        <v/>
      </c>
      <c r="AD37" s="4" t="n"/>
      <c r="AE37" s="18" t="n"/>
      <c r="AF37" s="6" t="n"/>
      <c r="AH37">
        <f>IF($A37="","",IF(OR(WEEKDAY($A37,2)&gt;5,ROUND(MOD($A37,1)*1440,0)&gt;=ROUND('Critères et poids'!$C$37*1440,0)),WORKDAY(INT($A37),1)+ROUND('Critères et poids'!$C$36*1440,0)/1440,IF(ROUND(MOD($A37,1)*1440,0)&lt;ROUND('Critères et poids'!$C$36*1440,0),INT($A37)+ROUND('Critères et poids'!$C$36*1440,0)/1440,$A37)))</f>
        <v/>
      </c>
      <c r="AI37">
        <f>IF(AH37="","",ROUND(MOD(AH37,1)*1440,0))</f>
        <v/>
      </c>
      <c r="AJ37">
        <f>IF(T37="","",INDEX('Critères et poids'!$E$29:$E$32,MATCH(T37,'Critères et poids'!$A$29:$A$32,0)))</f>
        <v/>
      </c>
    </row>
    <row r="38">
      <c r="A38" s="13" t="n"/>
      <c r="B38" s="6" t="n"/>
      <c r="C38" s="6" t="n"/>
      <c r="D38" s="4" t="n"/>
      <c r="E38" s="4" t="n"/>
      <c r="F38" s="4" t="n"/>
      <c r="G38" s="4" t="n"/>
      <c r="H38" s="4" t="n"/>
      <c r="I38" s="4" t="n"/>
      <c r="J38" s="4" t="n"/>
      <c r="K38" s="4" t="n"/>
      <c r="L38" s="4" t="n"/>
      <c r="M38" s="4" t="n"/>
      <c r="N38" s="6" t="n"/>
      <c r="O38" s="6" t="n"/>
      <c r="P38" s="14">
        <f>IF($B38="","",(E38="Clair")*'Critères et poids'!$G$5+(E38="Partiel")*'Critères et poids'!$G$5/2+(F38="Clair")*'Critères et poids'!$G$6+(F38="Partiel")*'Critères et poids'!$G$6/2+(G38="Clair")*'Critères et poids'!$G$7+(G38="Partiel")*'Critères et poids'!$G$7/2+(H38="Clair")*'Critères et poids'!$G$8+(H38="Partiel")*'Critères et poids'!$G$8/2)</f>
        <v/>
      </c>
      <c r="Q38" s="14">
        <f>IF($B38="","",(I38="Clair")*'Critères et poids'!$G$9+(I38="Partiel")*'Critères et poids'!$G$9/2+(J38="Clair")*'Critères et poids'!$G$10+(J38="Partiel")*'Critères et poids'!$G$10/2+(K38="Clair")*'Critères et poids'!$G$11+(K38="Partiel")*'Critères et poids'!$G$11/2+(L38="Clair")*'Critères et poids'!$G$12+(L38="Partiel")*'Critères et poids'!$G$12/2+(M38="Clair")*'Critères et poids'!$G$13+(M38="Partiel")*'Critères et poids'!$G$13/2)</f>
        <v/>
      </c>
      <c r="R38" s="14">
        <f>IF($B38="","",IFERROR(VLOOKUP(N38,'Critères et poids'!$B$17:$C$20,2,FALSE),0))</f>
        <v/>
      </c>
      <c r="S38" s="9">
        <f>IF($B38="","",MAX(0,P38+Q38+R38))</f>
        <v/>
      </c>
      <c r="T38" s="9">
        <f>IF($B38="","",IF(O38&lt;&gt;"","X",IF(S38&gt;='Critères et poids'!$C$29,"A",IF(S38&gt;='Critères et poids'!$C$30,"B","C"))))</f>
        <v/>
      </c>
      <c r="U38" s="14">
        <f>IF(T38="","",INDEX('Critères et poids'!$D$29:$D$32,MATCH(T38,'Critères et poids'!$A$29:$A$32,0)))</f>
        <v/>
      </c>
      <c r="V38" s="14">
        <f>IF(T38="","",INDEX('Critères et poids'!$F$29:$F$32,MATCH(T38,'Critères et poids'!$A$29:$A$32,0)))</f>
        <v/>
      </c>
      <c r="W38" s="15">
        <f>IF(OR(AH38="",AJ38=""),"",IF(AI38+AJ38*60&lt;=ROUND('Critères et poids'!$C$37*1440,0),INT(AH38)+(AI38+AJ38*60)/1440,WORKDAY(INT(AH38),1+INT((AI38+AJ38*60-ROUND('Critères et poids'!$C$37*1440,0)-1)/(ROUND('Critères et poids'!$C$37*1440,0)-ROUND('Critères et poids'!$C$36*1440,0))))+(ROUND('Critères et poids'!$C$36*1440,0)+AI38+AJ38*60-ROUND('Critères et poids'!$C$37*1440,0)-INT((AI38+AJ38*60-ROUND('Critères et poids'!$C$37*1440,0)-1)/(ROUND('Critères et poids'!$C$37*1440,0)-ROUND('Critères et poids'!$C$36*1440,0)))*(ROUND('Critères et poids'!$C$37*1440,0)-ROUND('Critères et poids'!$C$36*1440,0)))/1440))</f>
        <v/>
      </c>
      <c r="X38" s="16" t="n"/>
      <c r="Y38" s="14">
        <f>IF(W38="","",IF(X38="",IF(NOW()&gt;W38,"En retard","En attente"),IF(X38&lt;=W38,"À temps","En retard")))</f>
        <v/>
      </c>
      <c r="Z38" s="17" t="n"/>
      <c r="AA38" s="14">
        <f>IF($B38="","",IF(OR(T38="X",AD38&lt;&gt;""),0,MAX(0,MIN(Q38,'Critères et poids'!$C$38*INT((TODAY()-IF(Z38&lt;&gt;"",Z38,INT($A38)))/7)))))</f>
        <v/>
      </c>
      <c r="AB38" s="14">
        <f>IF($B38="","",MAX(0,S38-AA38))</f>
        <v/>
      </c>
      <c r="AC38" s="9">
        <f>IF($B38="","",IF(T38="X","X",IF(AB38&gt;='Critères et poids'!$C$29,"A",IF(AB38&gt;='Critères et poids'!$C$30,"B","C"))))</f>
        <v/>
      </c>
      <c r="AD38" s="4" t="n"/>
      <c r="AE38" s="18" t="n"/>
      <c r="AF38" s="6" t="n"/>
      <c r="AH38">
        <f>IF($A38="","",IF(OR(WEEKDAY($A38,2)&gt;5,ROUND(MOD($A38,1)*1440,0)&gt;=ROUND('Critères et poids'!$C$37*1440,0)),WORKDAY(INT($A38),1)+ROUND('Critères et poids'!$C$36*1440,0)/1440,IF(ROUND(MOD($A38,1)*1440,0)&lt;ROUND('Critères et poids'!$C$36*1440,0),INT($A38)+ROUND('Critères et poids'!$C$36*1440,0)/1440,$A38)))</f>
        <v/>
      </c>
      <c r="AI38">
        <f>IF(AH38="","",ROUND(MOD(AH38,1)*1440,0))</f>
        <v/>
      </c>
      <c r="AJ38">
        <f>IF(T38="","",INDEX('Critères et poids'!$E$29:$E$32,MATCH(T38,'Critères et poids'!$A$29:$A$32,0)))</f>
        <v/>
      </c>
    </row>
    <row r="39">
      <c r="A39" s="13" t="n"/>
      <c r="B39" s="6" t="n"/>
      <c r="C39" s="6" t="n"/>
      <c r="D39" s="4" t="n"/>
      <c r="E39" s="4" t="n"/>
      <c r="F39" s="4" t="n"/>
      <c r="G39" s="4" t="n"/>
      <c r="H39" s="4" t="n"/>
      <c r="I39" s="4" t="n"/>
      <c r="J39" s="4" t="n"/>
      <c r="K39" s="4" t="n"/>
      <c r="L39" s="4" t="n"/>
      <c r="M39" s="4" t="n"/>
      <c r="N39" s="6" t="n"/>
      <c r="O39" s="6" t="n"/>
      <c r="P39" s="14">
        <f>IF($B39="","",(E39="Clair")*'Critères et poids'!$G$5+(E39="Partiel")*'Critères et poids'!$G$5/2+(F39="Clair")*'Critères et poids'!$G$6+(F39="Partiel")*'Critères et poids'!$G$6/2+(G39="Clair")*'Critères et poids'!$G$7+(G39="Partiel")*'Critères et poids'!$G$7/2+(H39="Clair")*'Critères et poids'!$G$8+(H39="Partiel")*'Critères et poids'!$G$8/2)</f>
        <v/>
      </c>
      <c r="Q39" s="14">
        <f>IF($B39="","",(I39="Clair")*'Critères et poids'!$G$9+(I39="Partiel")*'Critères et poids'!$G$9/2+(J39="Clair")*'Critères et poids'!$G$10+(J39="Partiel")*'Critères et poids'!$G$10/2+(K39="Clair")*'Critères et poids'!$G$11+(K39="Partiel")*'Critères et poids'!$G$11/2+(L39="Clair")*'Critères et poids'!$G$12+(L39="Partiel")*'Critères et poids'!$G$12/2+(M39="Clair")*'Critères et poids'!$G$13+(M39="Partiel")*'Critères et poids'!$G$13/2)</f>
        <v/>
      </c>
      <c r="R39" s="14">
        <f>IF($B39="","",IFERROR(VLOOKUP(N39,'Critères et poids'!$B$17:$C$20,2,FALSE),0))</f>
        <v/>
      </c>
      <c r="S39" s="9">
        <f>IF($B39="","",MAX(0,P39+Q39+R39))</f>
        <v/>
      </c>
      <c r="T39" s="9">
        <f>IF($B39="","",IF(O39&lt;&gt;"","X",IF(S39&gt;='Critères et poids'!$C$29,"A",IF(S39&gt;='Critères et poids'!$C$30,"B","C"))))</f>
        <v/>
      </c>
      <c r="U39" s="14">
        <f>IF(T39="","",INDEX('Critères et poids'!$D$29:$D$32,MATCH(T39,'Critères et poids'!$A$29:$A$32,0)))</f>
        <v/>
      </c>
      <c r="V39" s="14">
        <f>IF(T39="","",INDEX('Critères et poids'!$F$29:$F$32,MATCH(T39,'Critères et poids'!$A$29:$A$32,0)))</f>
        <v/>
      </c>
      <c r="W39" s="15">
        <f>IF(OR(AH39="",AJ39=""),"",IF(AI39+AJ39*60&lt;=ROUND('Critères et poids'!$C$37*1440,0),INT(AH39)+(AI39+AJ39*60)/1440,WORKDAY(INT(AH39),1+INT((AI39+AJ39*60-ROUND('Critères et poids'!$C$37*1440,0)-1)/(ROUND('Critères et poids'!$C$37*1440,0)-ROUND('Critères et poids'!$C$36*1440,0))))+(ROUND('Critères et poids'!$C$36*1440,0)+AI39+AJ39*60-ROUND('Critères et poids'!$C$37*1440,0)-INT((AI39+AJ39*60-ROUND('Critères et poids'!$C$37*1440,0)-1)/(ROUND('Critères et poids'!$C$37*1440,0)-ROUND('Critères et poids'!$C$36*1440,0)))*(ROUND('Critères et poids'!$C$37*1440,0)-ROUND('Critères et poids'!$C$36*1440,0)))/1440))</f>
        <v/>
      </c>
      <c r="X39" s="16" t="n"/>
      <c r="Y39" s="14">
        <f>IF(W39="","",IF(X39="",IF(NOW()&gt;W39,"En retard","En attente"),IF(X39&lt;=W39,"À temps","En retard")))</f>
        <v/>
      </c>
      <c r="Z39" s="17" t="n"/>
      <c r="AA39" s="14">
        <f>IF($B39="","",IF(OR(T39="X",AD39&lt;&gt;""),0,MAX(0,MIN(Q39,'Critères et poids'!$C$38*INT((TODAY()-IF(Z39&lt;&gt;"",Z39,INT($A39)))/7)))))</f>
        <v/>
      </c>
      <c r="AB39" s="14">
        <f>IF($B39="","",MAX(0,S39-AA39))</f>
        <v/>
      </c>
      <c r="AC39" s="9">
        <f>IF($B39="","",IF(T39="X","X",IF(AB39&gt;='Critères et poids'!$C$29,"A",IF(AB39&gt;='Critères et poids'!$C$30,"B","C"))))</f>
        <v/>
      </c>
      <c r="AD39" s="4" t="n"/>
      <c r="AE39" s="18" t="n"/>
      <c r="AF39" s="6" t="n"/>
      <c r="AH39">
        <f>IF($A39="","",IF(OR(WEEKDAY($A39,2)&gt;5,ROUND(MOD($A39,1)*1440,0)&gt;=ROUND('Critères et poids'!$C$37*1440,0)),WORKDAY(INT($A39),1)+ROUND('Critères et poids'!$C$36*1440,0)/1440,IF(ROUND(MOD($A39,1)*1440,0)&lt;ROUND('Critères et poids'!$C$36*1440,0),INT($A39)+ROUND('Critères et poids'!$C$36*1440,0)/1440,$A39)))</f>
        <v/>
      </c>
      <c r="AI39">
        <f>IF(AH39="","",ROUND(MOD(AH39,1)*1440,0))</f>
        <v/>
      </c>
      <c r="AJ39">
        <f>IF(T39="","",INDEX('Critères et poids'!$E$29:$E$32,MATCH(T39,'Critères et poids'!$A$29:$A$32,0)))</f>
        <v/>
      </c>
    </row>
    <row r="40">
      <c r="A40" s="13" t="n"/>
      <c r="B40" s="6" t="n"/>
      <c r="C40" s="6" t="n"/>
      <c r="D40" s="4" t="n"/>
      <c r="E40" s="4" t="n"/>
      <c r="F40" s="4" t="n"/>
      <c r="G40" s="4" t="n"/>
      <c r="H40" s="4" t="n"/>
      <c r="I40" s="4" t="n"/>
      <c r="J40" s="4" t="n"/>
      <c r="K40" s="4" t="n"/>
      <c r="L40" s="4" t="n"/>
      <c r="M40" s="4" t="n"/>
      <c r="N40" s="6" t="n"/>
      <c r="O40" s="6" t="n"/>
      <c r="P40" s="14">
        <f>IF($B40="","",(E40="Clair")*'Critères et poids'!$G$5+(E40="Partiel")*'Critères et poids'!$G$5/2+(F40="Clair")*'Critères et poids'!$G$6+(F40="Partiel")*'Critères et poids'!$G$6/2+(G40="Clair")*'Critères et poids'!$G$7+(G40="Partiel")*'Critères et poids'!$G$7/2+(H40="Clair")*'Critères et poids'!$G$8+(H40="Partiel")*'Critères et poids'!$G$8/2)</f>
        <v/>
      </c>
      <c r="Q40" s="14">
        <f>IF($B40="","",(I40="Clair")*'Critères et poids'!$G$9+(I40="Partiel")*'Critères et poids'!$G$9/2+(J40="Clair")*'Critères et poids'!$G$10+(J40="Partiel")*'Critères et poids'!$G$10/2+(K40="Clair")*'Critères et poids'!$G$11+(K40="Partiel")*'Critères et poids'!$G$11/2+(L40="Clair")*'Critères et poids'!$G$12+(L40="Partiel")*'Critères et poids'!$G$12/2+(M40="Clair")*'Critères et poids'!$G$13+(M40="Partiel")*'Critères et poids'!$G$13/2)</f>
        <v/>
      </c>
      <c r="R40" s="14">
        <f>IF($B40="","",IFERROR(VLOOKUP(N40,'Critères et poids'!$B$17:$C$20,2,FALSE),0))</f>
        <v/>
      </c>
      <c r="S40" s="9">
        <f>IF($B40="","",MAX(0,P40+Q40+R40))</f>
        <v/>
      </c>
      <c r="T40" s="9">
        <f>IF($B40="","",IF(O40&lt;&gt;"","X",IF(S40&gt;='Critères et poids'!$C$29,"A",IF(S40&gt;='Critères et poids'!$C$30,"B","C"))))</f>
        <v/>
      </c>
      <c r="U40" s="14">
        <f>IF(T40="","",INDEX('Critères et poids'!$D$29:$D$32,MATCH(T40,'Critères et poids'!$A$29:$A$32,0)))</f>
        <v/>
      </c>
      <c r="V40" s="14">
        <f>IF(T40="","",INDEX('Critères et poids'!$F$29:$F$32,MATCH(T40,'Critères et poids'!$A$29:$A$32,0)))</f>
        <v/>
      </c>
      <c r="W40" s="15">
        <f>IF(OR(AH40="",AJ40=""),"",IF(AI40+AJ40*60&lt;=ROUND('Critères et poids'!$C$37*1440,0),INT(AH40)+(AI40+AJ40*60)/1440,WORKDAY(INT(AH40),1+INT((AI40+AJ40*60-ROUND('Critères et poids'!$C$37*1440,0)-1)/(ROUND('Critères et poids'!$C$37*1440,0)-ROUND('Critères et poids'!$C$36*1440,0))))+(ROUND('Critères et poids'!$C$36*1440,0)+AI40+AJ40*60-ROUND('Critères et poids'!$C$37*1440,0)-INT((AI40+AJ40*60-ROUND('Critères et poids'!$C$37*1440,0)-1)/(ROUND('Critères et poids'!$C$37*1440,0)-ROUND('Critères et poids'!$C$36*1440,0)))*(ROUND('Critères et poids'!$C$37*1440,0)-ROUND('Critères et poids'!$C$36*1440,0)))/1440))</f>
        <v/>
      </c>
      <c r="X40" s="16" t="n"/>
      <c r="Y40" s="14">
        <f>IF(W40="","",IF(X40="",IF(NOW()&gt;W40,"En retard","En attente"),IF(X40&lt;=W40,"À temps","En retard")))</f>
        <v/>
      </c>
      <c r="Z40" s="17" t="n"/>
      <c r="AA40" s="14">
        <f>IF($B40="","",IF(OR(T40="X",AD40&lt;&gt;""),0,MAX(0,MIN(Q40,'Critères et poids'!$C$38*INT((TODAY()-IF(Z40&lt;&gt;"",Z40,INT($A40)))/7)))))</f>
        <v/>
      </c>
      <c r="AB40" s="14">
        <f>IF($B40="","",MAX(0,S40-AA40))</f>
        <v/>
      </c>
      <c r="AC40" s="9">
        <f>IF($B40="","",IF(T40="X","X",IF(AB40&gt;='Critères et poids'!$C$29,"A",IF(AB40&gt;='Critères et poids'!$C$30,"B","C"))))</f>
        <v/>
      </c>
      <c r="AD40" s="4" t="n"/>
      <c r="AE40" s="18" t="n"/>
      <c r="AF40" s="6" t="n"/>
      <c r="AH40">
        <f>IF($A40="","",IF(OR(WEEKDAY($A40,2)&gt;5,ROUND(MOD($A40,1)*1440,0)&gt;=ROUND('Critères et poids'!$C$37*1440,0)),WORKDAY(INT($A40),1)+ROUND('Critères et poids'!$C$36*1440,0)/1440,IF(ROUND(MOD($A40,1)*1440,0)&lt;ROUND('Critères et poids'!$C$36*1440,0),INT($A40)+ROUND('Critères et poids'!$C$36*1440,0)/1440,$A40)))</f>
        <v/>
      </c>
      <c r="AI40">
        <f>IF(AH40="","",ROUND(MOD(AH40,1)*1440,0))</f>
        <v/>
      </c>
      <c r="AJ40">
        <f>IF(T40="","",INDEX('Critères et poids'!$E$29:$E$32,MATCH(T40,'Critères et poids'!$A$29:$A$32,0)))</f>
        <v/>
      </c>
    </row>
    <row r="41">
      <c r="A41" s="13" t="n"/>
      <c r="B41" s="6" t="n"/>
      <c r="C41" s="6" t="n"/>
      <c r="D41" s="4" t="n"/>
      <c r="E41" s="4" t="n"/>
      <c r="F41" s="4" t="n"/>
      <c r="G41" s="4" t="n"/>
      <c r="H41" s="4" t="n"/>
      <c r="I41" s="4" t="n"/>
      <c r="J41" s="4" t="n"/>
      <c r="K41" s="4" t="n"/>
      <c r="L41" s="4" t="n"/>
      <c r="M41" s="4" t="n"/>
      <c r="N41" s="6" t="n"/>
      <c r="O41" s="6" t="n"/>
      <c r="P41" s="14">
        <f>IF($B41="","",(E41="Clair")*'Critères et poids'!$G$5+(E41="Partiel")*'Critères et poids'!$G$5/2+(F41="Clair")*'Critères et poids'!$G$6+(F41="Partiel")*'Critères et poids'!$G$6/2+(G41="Clair")*'Critères et poids'!$G$7+(G41="Partiel")*'Critères et poids'!$G$7/2+(H41="Clair")*'Critères et poids'!$G$8+(H41="Partiel")*'Critères et poids'!$G$8/2)</f>
        <v/>
      </c>
      <c r="Q41" s="14">
        <f>IF($B41="","",(I41="Clair")*'Critères et poids'!$G$9+(I41="Partiel")*'Critères et poids'!$G$9/2+(J41="Clair")*'Critères et poids'!$G$10+(J41="Partiel")*'Critères et poids'!$G$10/2+(K41="Clair")*'Critères et poids'!$G$11+(K41="Partiel")*'Critères et poids'!$G$11/2+(L41="Clair")*'Critères et poids'!$G$12+(L41="Partiel")*'Critères et poids'!$G$12/2+(M41="Clair")*'Critères et poids'!$G$13+(M41="Partiel")*'Critères et poids'!$G$13/2)</f>
        <v/>
      </c>
      <c r="R41" s="14">
        <f>IF($B41="","",IFERROR(VLOOKUP(N41,'Critères et poids'!$B$17:$C$20,2,FALSE),0))</f>
        <v/>
      </c>
      <c r="S41" s="9">
        <f>IF($B41="","",MAX(0,P41+Q41+R41))</f>
        <v/>
      </c>
      <c r="T41" s="9">
        <f>IF($B41="","",IF(O41&lt;&gt;"","X",IF(S41&gt;='Critères et poids'!$C$29,"A",IF(S41&gt;='Critères et poids'!$C$30,"B","C"))))</f>
        <v/>
      </c>
      <c r="U41" s="14">
        <f>IF(T41="","",INDEX('Critères et poids'!$D$29:$D$32,MATCH(T41,'Critères et poids'!$A$29:$A$32,0)))</f>
        <v/>
      </c>
      <c r="V41" s="14">
        <f>IF(T41="","",INDEX('Critères et poids'!$F$29:$F$32,MATCH(T41,'Critères et poids'!$A$29:$A$32,0)))</f>
        <v/>
      </c>
      <c r="W41" s="15">
        <f>IF(OR(AH41="",AJ41=""),"",IF(AI41+AJ41*60&lt;=ROUND('Critères et poids'!$C$37*1440,0),INT(AH41)+(AI41+AJ41*60)/1440,WORKDAY(INT(AH41),1+INT((AI41+AJ41*60-ROUND('Critères et poids'!$C$37*1440,0)-1)/(ROUND('Critères et poids'!$C$37*1440,0)-ROUND('Critères et poids'!$C$36*1440,0))))+(ROUND('Critères et poids'!$C$36*1440,0)+AI41+AJ41*60-ROUND('Critères et poids'!$C$37*1440,0)-INT((AI41+AJ41*60-ROUND('Critères et poids'!$C$37*1440,0)-1)/(ROUND('Critères et poids'!$C$37*1440,0)-ROUND('Critères et poids'!$C$36*1440,0)))*(ROUND('Critères et poids'!$C$37*1440,0)-ROUND('Critères et poids'!$C$36*1440,0)))/1440))</f>
        <v/>
      </c>
      <c r="X41" s="16" t="n"/>
      <c r="Y41" s="14">
        <f>IF(W41="","",IF(X41="",IF(NOW()&gt;W41,"En retard","En attente"),IF(X41&lt;=W41,"À temps","En retard")))</f>
        <v/>
      </c>
      <c r="Z41" s="17" t="n"/>
      <c r="AA41" s="14">
        <f>IF($B41="","",IF(OR(T41="X",AD41&lt;&gt;""),0,MAX(0,MIN(Q41,'Critères et poids'!$C$38*INT((TODAY()-IF(Z41&lt;&gt;"",Z41,INT($A41)))/7)))))</f>
        <v/>
      </c>
      <c r="AB41" s="14">
        <f>IF($B41="","",MAX(0,S41-AA41))</f>
        <v/>
      </c>
      <c r="AC41" s="9">
        <f>IF($B41="","",IF(T41="X","X",IF(AB41&gt;='Critères et poids'!$C$29,"A",IF(AB41&gt;='Critères et poids'!$C$30,"B","C"))))</f>
        <v/>
      </c>
      <c r="AD41" s="4" t="n"/>
      <c r="AE41" s="18" t="n"/>
      <c r="AF41" s="6" t="n"/>
      <c r="AH41">
        <f>IF($A41="","",IF(OR(WEEKDAY($A41,2)&gt;5,ROUND(MOD($A41,1)*1440,0)&gt;=ROUND('Critères et poids'!$C$37*1440,0)),WORKDAY(INT($A41),1)+ROUND('Critères et poids'!$C$36*1440,0)/1440,IF(ROUND(MOD($A41,1)*1440,0)&lt;ROUND('Critères et poids'!$C$36*1440,0),INT($A41)+ROUND('Critères et poids'!$C$36*1440,0)/1440,$A41)))</f>
        <v/>
      </c>
      <c r="AI41">
        <f>IF(AH41="","",ROUND(MOD(AH41,1)*1440,0))</f>
        <v/>
      </c>
      <c r="AJ41">
        <f>IF(T41="","",INDEX('Critères et poids'!$E$29:$E$32,MATCH(T41,'Critères et poids'!$A$29:$A$32,0)))</f>
        <v/>
      </c>
    </row>
    <row r="42">
      <c r="A42" s="13" t="n"/>
      <c r="B42" s="6" t="n"/>
      <c r="C42" s="6" t="n"/>
      <c r="D42" s="4" t="n"/>
      <c r="E42" s="4" t="n"/>
      <c r="F42" s="4" t="n"/>
      <c r="G42" s="4" t="n"/>
      <c r="H42" s="4" t="n"/>
      <c r="I42" s="4" t="n"/>
      <c r="J42" s="4" t="n"/>
      <c r="K42" s="4" t="n"/>
      <c r="L42" s="4" t="n"/>
      <c r="M42" s="4" t="n"/>
      <c r="N42" s="6" t="n"/>
      <c r="O42" s="6" t="n"/>
      <c r="P42" s="14">
        <f>IF($B42="","",(E42="Clair")*'Critères et poids'!$G$5+(E42="Partiel")*'Critères et poids'!$G$5/2+(F42="Clair")*'Critères et poids'!$G$6+(F42="Partiel")*'Critères et poids'!$G$6/2+(G42="Clair")*'Critères et poids'!$G$7+(G42="Partiel")*'Critères et poids'!$G$7/2+(H42="Clair")*'Critères et poids'!$G$8+(H42="Partiel")*'Critères et poids'!$G$8/2)</f>
        <v/>
      </c>
      <c r="Q42" s="14">
        <f>IF($B42="","",(I42="Clair")*'Critères et poids'!$G$9+(I42="Partiel")*'Critères et poids'!$G$9/2+(J42="Clair")*'Critères et poids'!$G$10+(J42="Partiel")*'Critères et poids'!$G$10/2+(K42="Clair")*'Critères et poids'!$G$11+(K42="Partiel")*'Critères et poids'!$G$11/2+(L42="Clair")*'Critères et poids'!$G$12+(L42="Partiel")*'Critères et poids'!$G$12/2+(M42="Clair")*'Critères et poids'!$G$13+(M42="Partiel")*'Critères et poids'!$G$13/2)</f>
        <v/>
      </c>
      <c r="R42" s="14">
        <f>IF($B42="","",IFERROR(VLOOKUP(N42,'Critères et poids'!$B$17:$C$20,2,FALSE),0))</f>
        <v/>
      </c>
      <c r="S42" s="9">
        <f>IF($B42="","",MAX(0,P42+Q42+R42))</f>
        <v/>
      </c>
      <c r="T42" s="9">
        <f>IF($B42="","",IF(O42&lt;&gt;"","X",IF(S42&gt;='Critères et poids'!$C$29,"A",IF(S42&gt;='Critères et poids'!$C$30,"B","C"))))</f>
        <v/>
      </c>
      <c r="U42" s="14">
        <f>IF(T42="","",INDEX('Critères et poids'!$D$29:$D$32,MATCH(T42,'Critères et poids'!$A$29:$A$32,0)))</f>
        <v/>
      </c>
      <c r="V42" s="14">
        <f>IF(T42="","",INDEX('Critères et poids'!$F$29:$F$32,MATCH(T42,'Critères et poids'!$A$29:$A$32,0)))</f>
        <v/>
      </c>
      <c r="W42" s="15">
        <f>IF(OR(AH42="",AJ42=""),"",IF(AI42+AJ42*60&lt;=ROUND('Critères et poids'!$C$37*1440,0),INT(AH42)+(AI42+AJ42*60)/1440,WORKDAY(INT(AH42),1+INT((AI42+AJ42*60-ROUND('Critères et poids'!$C$37*1440,0)-1)/(ROUND('Critères et poids'!$C$37*1440,0)-ROUND('Critères et poids'!$C$36*1440,0))))+(ROUND('Critères et poids'!$C$36*1440,0)+AI42+AJ42*60-ROUND('Critères et poids'!$C$37*1440,0)-INT((AI42+AJ42*60-ROUND('Critères et poids'!$C$37*1440,0)-1)/(ROUND('Critères et poids'!$C$37*1440,0)-ROUND('Critères et poids'!$C$36*1440,0)))*(ROUND('Critères et poids'!$C$37*1440,0)-ROUND('Critères et poids'!$C$36*1440,0)))/1440))</f>
        <v/>
      </c>
      <c r="X42" s="16" t="n"/>
      <c r="Y42" s="14">
        <f>IF(W42="","",IF(X42="",IF(NOW()&gt;W42,"En retard","En attente"),IF(X42&lt;=W42,"À temps","En retard")))</f>
        <v/>
      </c>
      <c r="Z42" s="17" t="n"/>
      <c r="AA42" s="14">
        <f>IF($B42="","",IF(OR(T42="X",AD42&lt;&gt;""),0,MAX(0,MIN(Q42,'Critères et poids'!$C$38*INT((TODAY()-IF(Z42&lt;&gt;"",Z42,INT($A42)))/7)))))</f>
        <v/>
      </c>
      <c r="AB42" s="14">
        <f>IF($B42="","",MAX(0,S42-AA42))</f>
        <v/>
      </c>
      <c r="AC42" s="9">
        <f>IF($B42="","",IF(T42="X","X",IF(AB42&gt;='Critères et poids'!$C$29,"A",IF(AB42&gt;='Critères et poids'!$C$30,"B","C"))))</f>
        <v/>
      </c>
      <c r="AD42" s="4" t="n"/>
      <c r="AE42" s="18" t="n"/>
      <c r="AF42" s="6" t="n"/>
      <c r="AH42">
        <f>IF($A42="","",IF(OR(WEEKDAY($A42,2)&gt;5,ROUND(MOD($A42,1)*1440,0)&gt;=ROUND('Critères et poids'!$C$37*1440,0)),WORKDAY(INT($A42),1)+ROUND('Critères et poids'!$C$36*1440,0)/1440,IF(ROUND(MOD($A42,1)*1440,0)&lt;ROUND('Critères et poids'!$C$36*1440,0),INT($A42)+ROUND('Critères et poids'!$C$36*1440,0)/1440,$A42)))</f>
        <v/>
      </c>
      <c r="AI42">
        <f>IF(AH42="","",ROUND(MOD(AH42,1)*1440,0))</f>
        <v/>
      </c>
      <c r="AJ42">
        <f>IF(T42="","",INDEX('Critères et poids'!$E$29:$E$32,MATCH(T42,'Critères et poids'!$A$29:$A$32,0)))</f>
        <v/>
      </c>
    </row>
    <row r="43">
      <c r="A43" s="13" t="n"/>
      <c r="B43" s="6" t="n"/>
      <c r="C43" s="6" t="n"/>
      <c r="D43" s="4" t="n"/>
      <c r="E43" s="4" t="n"/>
      <c r="F43" s="4" t="n"/>
      <c r="G43" s="4" t="n"/>
      <c r="H43" s="4" t="n"/>
      <c r="I43" s="4" t="n"/>
      <c r="J43" s="4" t="n"/>
      <c r="K43" s="4" t="n"/>
      <c r="L43" s="4" t="n"/>
      <c r="M43" s="4" t="n"/>
      <c r="N43" s="6" t="n"/>
      <c r="O43" s="6" t="n"/>
      <c r="P43" s="14">
        <f>IF($B43="","",(E43="Clair")*'Critères et poids'!$G$5+(E43="Partiel")*'Critères et poids'!$G$5/2+(F43="Clair")*'Critères et poids'!$G$6+(F43="Partiel")*'Critères et poids'!$G$6/2+(G43="Clair")*'Critères et poids'!$G$7+(G43="Partiel")*'Critères et poids'!$G$7/2+(H43="Clair")*'Critères et poids'!$G$8+(H43="Partiel")*'Critères et poids'!$G$8/2)</f>
        <v/>
      </c>
      <c r="Q43" s="14">
        <f>IF($B43="","",(I43="Clair")*'Critères et poids'!$G$9+(I43="Partiel")*'Critères et poids'!$G$9/2+(J43="Clair")*'Critères et poids'!$G$10+(J43="Partiel")*'Critères et poids'!$G$10/2+(K43="Clair")*'Critères et poids'!$G$11+(K43="Partiel")*'Critères et poids'!$G$11/2+(L43="Clair")*'Critères et poids'!$G$12+(L43="Partiel")*'Critères et poids'!$G$12/2+(M43="Clair")*'Critères et poids'!$G$13+(M43="Partiel")*'Critères et poids'!$G$13/2)</f>
        <v/>
      </c>
      <c r="R43" s="14">
        <f>IF($B43="","",IFERROR(VLOOKUP(N43,'Critères et poids'!$B$17:$C$20,2,FALSE),0))</f>
        <v/>
      </c>
      <c r="S43" s="9">
        <f>IF($B43="","",MAX(0,P43+Q43+R43))</f>
        <v/>
      </c>
      <c r="T43" s="9">
        <f>IF($B43="","",IF(O43&lt;&gt;"","X",IF(S43&gt;='Critères et poids'!$C$29,"A",IF(S43&gt;='Critères et poids'!$C$30,"B","C"))))</f>
        <v/>
      </c>
      <c r="U43" s="14">
        <f>IF(T43="","",INDEX('Critères et poids'!$D$29:$D$32,MATCH(T43,'Critères et poids'!$A$29:$A$32,0)))</f>
        <v/>
      </c>
      <c r="V43" s="14">
        <f>IF(T43="","",INDEX('Critères et poids'!$F$29:$F$32,MATCH(T43,'Critères et poids'!$A$29:$A$32,0)))</f>
        <v/>
      </c>
      <c r="W43" s="15">
        <f>IF(OR(AH43="",AJ43=""),"",IF(AI43+AJ43*60&lt;=ROUND('Critères et poids'!$C$37*1440,0),INT(AH43)+(AI43+AJ43*60)/1440,WORKDAY(INT(AH43),1+INT((AI43+AJ43*60-ROUND('Critères et poids'!$C$37*1440,0)-1)/(ROUND('Critères et poids'!$C$37*1440,0)-ROUND('Critères et poids'!$C$36*1440,0))))+(ROUND('Critères et poids'!$C$36*1440,0)+AI43+AJ43*60-ROUND('Critères et poids'!$C$37*1440,0)-INT((AI43+AJ43*60-ROUND('Critères et poids'!$C$37*1440,0)-1)/(ROUND('Critères et poids'!$C$37*1440,0)-ROUND('Critères et poids'!$C$36*1440,0)))*(ROUND('Critères et poids'!$C$37*1440,0)-ROUND('Critères et poids'!$C$36*1440,0)))/1440))</f>
        <v/>
      </c>
      <c r="X43" s="16" t="n"/>
      <c r="Y43" s="14">
        <f>IF(W43="","",IF(X43="",IF(NOW()&gt;W43,"En retard","En attente"),IF(X43&lt;=W43,"À temps","En retard")))</f>
        <v/>
      </c>
      <c r="Z43" s="17" t="n"/>
      <c r="AA43" s="14">
        <f>IF($B43="","",IF(OR(T43="X",AD43&lt;&gt;""),0,MAX(0,MIN(Q43,'Critères et poids'!$C$38*INT((TODAY()-IF(Z43&lt;&gt;"",Z43,INT($A43)))/7)))))</f>
        <v/>
      </c>
      <c r="AB43" s="14">
        <f>IF($B43="","",MAX(0,S43-AA43))</f>
        <v/>
      </c>
      <c r="AC43" s="9">
        <f>IF($B43="","",IF(T43="X","X",IF(AB43&gt;='Critères et poids'!$C$29,"A",IF(AB43&gt;='Critères et poids'!$C$30,"B","C"))))</f>
        <v/>
      </c>
      <c r="AD43" s="4" t="n"/>
      <c r="AE43" s="18" t="n"/>
      <c r="AF43" s="6" t="n"/>
      <c r="AH43">
        <f>IF($A43="","",IF(OR(WEEKDAY($A43,2)&gt;5,ROUND(MOD($A43,1)*1440,0)&gt;=ROUND('Critères et poids'!$C$37*1440,0)),WORKDAY(INT($A43),1)+ROUND('Critères et poids'!$C$36*1440,0)/1440,IF(ROUND(MOD($A43,1)*1440,0)&lt;ROUND('Critères et poids'!$C$36*1440,0),INT($A43)+ROUND('Critères et poids'!$C$36*1440,0)/1440,$A43)))</f>
        <v/>
      </c>
      <c r="AI43">
        <f>IF(AH43="","",ROUND(MOD(AH43,1)*1440,0))</f>
        <v/>
      </c>
      <c r="AJ43">
        <f>IF(T43="","",INDEX('Critères et poids'!$E$29:$E$32,MATCH(T43,'Critères et poids'!$A$29:$A$32,0)))</f>
        <v/>
      </c>
    </row>
    <row r="44">
      <c r="A44" s="13" t="n"/>
      <c r="B44" s="6" t="n"/>
      <c r="C44" s="6" t="n"/>
      <c r="D44" s="4" t="n"/>
      <c r="E44" s="4" t="n"/>
      <c r="F44" s="4" t="n"/>
      <c r="G44" s="4" t="n"/>
      <c r="H44" s="4" t="n"/>
      <c r="I44" s="4" t="n"/>
      <c r="J44" s="4" t="n"/>
      <c r="K44" s="4" t="n"/>
      <c r="L44" s="4" t="n"/>
      <c r="M44" s="4" t="n"/>
      <c r="N44" s="6" t="n"/>
      <c r="O44" s="6" t="n"/>
      <c r="P44" s="14">
        <f>IF($B44="","",(E44="Clair")*'Critères et poids'!$G$5+(E44="Partiel")*'Critères et poids'!$G$5/2+(F44="Clair")*'Critères et poids'!$G$6+(F44="Partiel")*'Critères et poids'!$G$6/2+(G44="Clair")*'Critères et poids'!$G$7+(G44="Partiel")*'Critères et poids'!$G$7/2+(H44="Clair")*'Critères et poids'!$G$8+(H44="Partiel")*'Critères et poids'!$G$8/2)</f>
        <v/>
      </c>
      <c r="Q44" s="14">
        <f>IF($B44="","",(I44="Clair")*'Critères et poids'!$G$9+(I44="Partiel")*'Critères et poids'!$G$9/2+(J44="Clair")*'Critères et poids'!$G$10+(J44="Partiel")*'Critères et poids'!$G$10/2+(K44="Clair")*'Critères et poids'!$G$11+(K44="Partiel")*'Critères et poids'!$G$11/2+(L44="Clair")*'Critères et poids'!$G$12+(L44="Partiel")*'Critères et poids'!$G$12/2+(M44="Clair")*'Critères et poids'!$G$13+(M44="Partiel")*'Critères et poids'!$G$13/2)</f>
        <v/>
      </c>
      <c r="R44" s="14">
        <f>IF($B44="","",IFERROR(VLOOKUP(N44,'Critères et poids'!$B$17:$C$20,2,FALSE),0))</f>
        <v/>
      </c>
      <c r="S44" s="9">
        <f>IF($B44="","",MAX(0,P44+Q44+R44))</f>
        <v/>
      </c>
      <c r="T44" s="9">
        <f>IF($B44="","",IF(O44&lt;&gt;"","X",IF(S44&gt;='Critères et poids'!$C$29,"A",IF(S44&gt;='Critères et poids'!$C$30,"B","C"))))</f>
        <v/>
      </c>
      <c r="U44" s="14">
        <f>IF(T44="","",INDEX('Critères et poids'!$D$29:$D$32,MATCH(T44,'Critères et poids'!$A$29:$A$32,0)))</f>
        <v/>
      </c>
      <c r="V44" s="14">
        <f>IF(T44="","",INDEX('Critères et poids'!$F$29:$F$32,MATCH(T44,'Critères et poids'!$A$29:$A$32,0)))</f>
        <v/>
      </c>
      <c r="W44" s="15">
        <f>IF(OR(AH44="",AJ44=""),"",IF(AI44+AJ44*60&lt;=ROUND('Critères et poids'!$C$37*1440,0),INT(AH44)+(AI44+AJ44*60)/1440,WORKDAY(INT(AH44),1+INT((AI44+AJ44*60-ROUND('Critères et poids'!$C$37*1440,0)-1)/(ROUND('Critères et poids'!$C$37*1440,0)-ROUND('Critères et poids'!$C$36*1440,0))))+(ROUND('Critères et poids'!$C$36*1440,0)+AI44+AJ44*60-ROUND('Critères et poids'!$C$37*1440,0)-INT((AI44+AJ44*60-ROUND('Critères et poids'!$C$37*1440,0)-1)/(ROUND('Critères et poids'!$C$37*1440,0)-ROUND('Critères et poids'!$C$36*1440,0)))*(ROUND('Critères et poids'!$C$37*1440,0)-ROUND('Critères et poids'!$C$36*1440,0)))/1440))</f>
        <v/>
      </c>
      <c r="X44" s="16" t="n"/>
      <c r="Y44" s="14">
        <f>IF(W44="","",IF(X44="",IF(NOW()&gt;W44,"En retard","En attente"),IF(X44&lt;=W44,"À temps","En retard")))</f>
        <v/>
      </c>
      <c r="Z44" s="17" t="n"/>
      <c r="AA44" s="14">
        <f>IF($B44="","",IF(OR(T44="X",AD44&lt;&gt;""),0,MAX(0,MIN(Q44,'Critères et poids'!$C$38*INT((TODAY()-IF(Z44&lt;&gt;"",Z44,INT($A44)))/7)))))</f>
        <v/>
      </c>
      <c r="AB44" s="14">
        <f>IF($B44="","",MAX(0,S44-AA44))</f>
        <v/>
      </c>
      <c r="AC44" s="9">
        <f>IF($B44="","",IF(T44="X","X",IF(AB44&gt;='Critères et poids'!$C$29,"A",IF(AB44&gt;='Critères et poids'!$C$30,"B","C"))))</f>
        <v/>
      </c>
      <c r="AD44" s="4" t="n"/>
      <c r="AE44" s="18" t="n"/>
      <c r="AF44" s="6" t="n"/>
      <c r="AH44">
        <f>IF($A44="","",IF(OR(WEEKDAY($A44,2)&gt;5,ROUND(MOD($A44,1)*1440,0)&gt;=ROUND('Critères et poids'!$C$37*1440,0)),WORKDAY(INT($A44),1)+ROUND('Critères et poids'!$C$36*1440,0)/1440,IF(ROUND(MOD($A44,1)*1440,0)&lt;ROUND('Critères et poids'!$C$36*1440,0),INT($A44)+ROUND('Critères et poids'!$C$36*1440,0)/1440,$A44)))</f>
        <v/>
      </c>
      <c r="AI44">
        <f>IF(AH44="","",ROUND(MOD(AH44,1)*1440,0))</f>
        <v/>
      </c>
      <c r="AJ44">
        <f>IF(T44="","",INDEX('Critères et poids'!$E$29:$E$32,MATCH(T44,'Critères et poids'!$A$29:$A$32,0)))</f>
        <v/>
      </c>
    </row>
    <row r="45">
      <c r="A45" s="13" t="n"/>
      <c r="B45" s="6" t="n"/>
      <c r="C45" s="6" t="n"/>
      <c r="D45" s="4" t="n"/>
      <c r="E45" s="4" t="n"/>
      <c r="F45" s="4" t="n"/>
      <c r="G45" s="4" t="n"/>
      <c r="H45" s="4" t="n"/>
      <c r="I45" s="4" t="n"/>
      <c r="J45" s="4" t="n"/>
      <c r="K45" s="4" t="n"/>
      <c r="L45" s="4" t="n"/>
      <c r="M45" s="4" t="n"/>
      <c r="N45" s="6" t="n"/>
      <c r="O45" s="6" t="n"/>
      <c r="P45" s="14">
        <f>IF($B45="","",(E45="Clair")*'Critères et poids'!$G$5+(E45="Partiel")*'Critères et poids'!$G$5/2+(F45="Clair")*'Critères et poids'!$G$6+(F45="Partiel")*'Critères et poids'!$G$6/2+(G45="Clair")*'Critères et poids'!$G$7+(G45="Partiel")*'Critères et poids'!$G$7/2+(H45="Clair")*'Critères et poids'!$G$8+(H45="Partiel")*'Critères et poids'!$G$8/2)</f>
        <v/>
      </c>
      <c r="Q45" s="14">
        <f>IF($B45="","",(I45="Clair")*'Critères et poids'!$G$9+(I45="Partiel")*'Critères et poids'!$G$9/2+(J45="Clair")*'Critères et poids'!$G$10+(J45="Partiel")*'Critères et poids'!$G$10/2+(K45="Clair")*'Critères et poids'!$G$11+(K45="Partiel")*'Critères et poids'!$G$11/2+(L45="Clair")*'Critères et poids'!$G$12+(L45="Partiel")*'Critères et poids'!$G$12/2+(M45="Clair")*'Critères et poids'!$G$13+(M45="Partiel")*'Critères et poids'!$G$13/2)</f>
        <v/>
      </c>
      <c r="R45" s="14">
        <f>IF($B45="","",IFERROR(VLOOKUP(N45,'Critères et poids'!$B$17:$C$20,2,FALSE),0))</f>
        <v/>
      </c>
      <c r="S45" s="9">
        <f>IF($B45="","",MAX(0,P45+Q45+R45))</f>
        <v/>
      </c>
      <c r="T45" s="9">
        <f>IF($B45="","",IF(O45&lt;&gt;"","X",IF(S45&gt;='Critères et poids'!$C$29,"A",IF(S45&gt;='Critères et poids'!$C$30,"B","C"))))</f>
        <v/>
      </c>
      <c r="U45" s="14">
        <f>IF(T45="","",INDEX('Critères et poids'!$D$29:$D$32,MATCH(T45,'Critères et poids'!$A$29:$A$32,0)))</f>
        <v/>
      </c>
      <c r="V45" s="14">
        <f>IF(T45="","",INDEX('Critères et poids'!$F$29:$F$32,MATCH(T45,'Critères et poids'!$A$29:$A$32,0)))</f>
        <v/>
      </c>
      <c r="W45" s="15">
        <f>IF(OR(AH45="",AJ45=""),"",IF(AI45+AJ45*60&lt;=ROUND('Critères et poids'!$C$37*1440,0),INT(AH45)+(AI45+AJ45*60)/1440,WORKDAY(INT(AH45),1+INT((AI45+AJ45*60-ROUND('Critères et poids'!$C$37*1440,0)-1)/(ROUND('Critères et poids'!$C$37*1440,0)-ROUND('Critères et poids'!$C$36*1440,0))))+(ROUND('Critères et poids'!$C$36*1440,0)+AI45+AJ45*60-ROUND('Critères et poids'!$C$37*1440,0)-INT((AI45+AJ45*60-ROUND('Critères et poids'!$C$37*1440,0)-1)/(ROUND('Critères et poids'!$C$37*1440,0)-ROUND('Critères et poids'!$C$36*1440,0)))*(ROUND('Critères et poids'!$C$37*1440,0)-ROUND('Critères et poids'!$C$36*1440,0)))/1440))</f>
        <v/>
      </c>
      <c r="X45" s="16" t="n"/>
      <c r="Y45" s="14">
        <f>IF(W45="","",IF(X45="",IF(NOW()&gt;W45,"En retard","En attente"),IF(X45&lt;=W45,"À temps","En retard")))</f>
        <v/>
      </c>
      <c r="Z45" s="17" t="n"/>
      <c r="AA45" s="14">
        <f>IF($B45="","",IF(OR(T45="X",AD45&lt;&gt;""),0,MAX(0,MIN(Q45,'Critères et poids'!$C$38*INT((TODAY()-IF(Z45&lt;&gt;"",Z45,INT($A45)))/7)))))</f>
        <v/>
      </c>
      <c r="AB45" s="14">
        <f>IF($B45="","",MAX(0,S45-AA45))</f>
        <v/>
      </c>
      <c r="AC45" s="9">
        <f>IF($B45="","",IF(T45="X","X",IF(AB45&gt;='Critères et poids'!$C$29,"A",IF(AB45&gt;='Critères et poids'!$C$30,"B","C"))))</f>
        <v/>
      </c>
      <c r="AD45" s="4" t="n"/>
      <c r="AE45" s="18" t="n"/>
      <c r="AF45" s="6" t="n"/>
      <c r="AH45">
        <f>IF($A45="","",IF(OR(WEEKDAY($A45,2)&gt;5,ROUND(MOD($A45,1)*1440,0)&gt;=ROUND('Critères et poids'!$C$37*1440,0)),WORKDAY(INT($A45),1)+ROUND('Critères et poids'!$C$36*1440,0)/1440,IF(ROUND(MOD($A45,1)*1440,0)&lt;ROUND('Critères et poids'!$C$36*1440,0),INT($A45)+ROUND('Critères et poids'!$C$36*1440,0)/1440,$A45)))</f>
        <v/>
      </c>
      <c r="AI45">
        <f>IF(AH45="","",ROUND(MOD(AH45,1)*1440,0))</f>
        <v/>
      </c>
      <c r="AJ45">
        <f>IF(T45="","",INDEX('Critères et poids'!$E$29:$E$32,MATCH(T45,'Critères et poids'!$A$29:$A$32,0)))</f>
        <v/>
      </c>
    </row>
    <row r="46">
      <c r="A46" s="13" t="n"/>
      <c r="B46" s="6" t="n"/>
      <c r="C46" s="6" t="n"/>
      <c r="D46" s="4" t="n"/>
      <c r="E46" s="4" t="n"/>
      <c r="F46" s="4" t="n"/>
      <c r="G46" s="4" t="n"/>
      <c r="H46" s="4" t="n"/>
      <c r="I46" s="4" t="n"/>
      <c r="J46" s="4" t="n"/>
      <c r="K46" s="4" t="n"/>
      <c r="L46" s="4" t="n"/>
      <c r="M46" s="4" t="n"/>
      <c r="N46" s="6" t="n"/>
      <c r="O46" s="6" t="n"/>
      <c r="P46" s="14">
        <f>IF($B46="","",(E46="Clair")*'Critères et poids'!$G$5+(E46="Partiel")*'Critères et poids'!$G$5/2+(F46="Clair")*'Critères et poids'!$G$6+(F46="Partiel")*'Critères et poids'!$G$6/2+(G46="Clair")*'Critères et poids'!$G$7+(G46="Partiel")*'Critères et poids'!$G$7/2+(H46="Clair")*'Critères et poids'!$G$8+(H46="Partiel")*'Critères et poids'!$G$8/2)</f>
        <v/>
      </c>
      <c r="Q46" s="14">
        <f>IF($B46="","",(I46="Clair")*'Critères et poids'!$G$9+(I46="Partiel")*'Critères et poids'!$G$9/2+(J46="Clair")*'Critères et poids'!$G$10+(J46="Partiel")*'Critères et poids'!$G$10/2+(K46="Clair")*'Critères et poids'!$G$11+(K46="Partiel")*'Critères et poids'!$G$11/2+(L46="Clair")*'Critères et poids'!$G$12+(L46="Partiel")*'Critères et poids'!$G$12/2+(M46="Clair")*'Critères et poids'!$G$13+(M46="Partiel")*'Critères et poids'!$G$13/2)</f>
        <v/>
      </c>
      <c r="R46" s="14">
        <f>IF($B46="","",IFERROR(VLOOKUP(N46,'Critères et poids'!$B$17:$C$20,2,FALSE),0))</f>
        <v/>
      </c>
      <c r="S46" s="9">
        <f>IF($B46="","",MAX(0,P46+Q46+R46))</f>
        <v/>
      </c>
      <c r="T46" s="9">
        <f>IF($B46="","",IF(O46&lt;&gt;"","X",IF(S46&gt;='Critères et poids'!$C$29,"A",IF(S46&gt;='Critères et poids'!$C$30,"B","C"))))</f>
        <v/>
      </c>
      <c r="U46" s="14">
        <f>IF(T46="","",INDEX('Critères et poids'!$D$29:$D$32,MATCH(T46,'Critères et poids'!$A$29:$A$32,0)))</f>
        <v/>
      </c>
      <c r="V46" s="14">
        <f>IF(T46="","",INDEX('Critères et poids'!$F$29:$F$32,MATCH(T46,'Critères et poids'!$A$29:$A$32,0)))</f>
        <v/>
      </c>
      <c r="W46" s="15">
        <f>IF(OR(AH46="",AJ46=""),"",IF(AI46+AJ46*60&lt;=ROUND('Critères et poids'!$C$37*1440,0),INT(AH46)+(AI46+AJ46*60)/1440,WORKDAY(INT(AH46),1+INT((AI46+AJ46*60-ROUND('Critères et poids'!$C$37*1440,0)-1)/(ROUND('Critères et poids'!$C$37*1440,0)-ROUND('Critères et poids'!$C$36*1440,0))))+(ROUND('Critères et poids'!$C$36*1440,0)+AI46+AJ46*60-ROUND('Critères et poids'!$C$37*1440,0)-INT((AI46+AJ46*60-ROUND('Critères et poids'!$C$37*1440,0)-1)/(ROUND('Critères et poids'!$C$37*1440,0)-ROUND('Critères et poids'!$C$36*1440,0)))*(ROUND('Critères et poids'!$C$37*1440,0)-ROUND('Critères et poids'!$C$36*1440,0)))/1440))</f>
        <v/>
      </c>
      <c r="X46" s="16" t="n"/>
      <c r="Y46" s="14">
        <f>IF(W46="","",IF(X46="",IF(NOW()&gt;W46,"En retard","En attente"),IF(X46&lt;=W46,"À temps","En retard")))</f>
        <v/>
      </c>
      <c r="Z46" s="17" t="n"/>
      <c r="AA46" s="14">
        <f>IF($B46="","",IF(OR(T46="X",AD46&lt;&gt;""),0,MAX(0,MIN(Q46,'Critères et poids'!$C$38*INT((TODAY()-IF(Z46&lt;&gt;"",Z46,INT($A46)))/7)))))</f>
        <v/>
      </c>
      <c r="AB46" s="14">
        <f>IF($B46="","",MAX(0,S46-AA46))</f>
        <v/>
      </c>
      <c r="AC46" s="9">
        <f>IF($B46="","",IF(T46="X","X",IF(AB46&gt;='Critères et poids'!$C$29,"A",IF(AB46&gt;='Critères et poids'!$C$30,"B","C"))))</f>
        <v/>
      </c>
      <c r="AD46" s="4" t="n"/>
      <c r="AE46" s="18" t="n"/>
      <c r="AF46" s="6" t="n"/>
      <c r="AH46">
        <f>IF($A46="","",IF(OR(WEEKDAY($A46,2)&gt;5,ROUND(MOD($A46,1)*1440,0)&gt;=ROUND('Critères et poids'!$C$37*1440,0)),WORKDAY(INT($A46),1)+ROUND('Critères et poids'!$C$36*1440,0)/1440,IF(ROUND(MOD($A46,1)*1440,0)&lt;ROUND('Critères et poids'!$C$36*1440,0),INT($A46)+ROUND('Critères et poids'!$C$36*1440,0)/1440,$A46)))</f>
        <v/>
      </c>
      <c r="AI46">
        <f>IF(AH46="","",ROUND(MOD(AH46,1)*1440,0))</f>
        <v/>
      </c>
      <c r="AJ46">
        <f>IF(T46="","",INDEX('Critères et poids'!$E$29:$E$32,MATCH(T46,'Critères et poids'!$A$29:$A$32,0)))</f>
        <v/>
      </c>
    </row>
    <row r="47">
      <c r="A47" s="13" t="n"/>
      <c r="B47" s="6" t="n"/>
      <c r="C47" s="6" t="n"/>
      <c r="D47" s="4" t="n"/>
      <c r="E47" s="4" t="n"/>
      <c r="F47" s="4" t="n"/>
      <c r="G47" s="4" t="n"/>
      <c r="H47" s="4" t="n"/>
      <c r="I47" s="4" t="n"/>
      <c r="J47" s="4" t="n"/>
      <c r="K47" s="4" t="n"/>
      <c r="L47" s="4" t="n"/>
      <c r="M47" s="4" t="n"/>
      <c r="N47" s="6" t="n"/>
      <c r="O47" s="6" t="n"/>
      <c r="P47" s="14">
        <f>IF($B47="","",(E47="Clair")*'Critères et poids'!$G$5+(E47="Partiel")*'Critères et poids'!$G$5/2+(F47="Clair")*'Critères et poids'!$G$6+(F47="Partiel")*'Critères et poids'!$G$6/2+(G47="Clair")*'Critères et poids'!$G$7+(G47="Partiel")*'Critères et poids'!$G$7/2+(H47="Clair")*'Critères et poids'!$G$8+(H47="Partiel")*'Critères et poids'!$G$8/2)</f>
        <v/>
      </c>
      <c r="Q47" s="14">
        <f>IF($B47="","",(I47="Clair")*'Critères et poids'!$G$9+(I47="Partiel")*'Critères et poids'!$G$9/2+(J47="Clair")*'Critères et poids'!$G$10+(J47="Partiel")*'Critères et poids'!$G$10/2+(K47="Clair")*'Critères et poids'!$G$11+(K47="Partiel")*'Critères et poids'!$G$11/2+(L47="Clair")*'Critères et poids'!$G$12+(L47="Partiel")*'Critères et poids'!$G$12/2+(M47="Clair")*'Critères et poids'!$G$13+(M47="Partiel")*'Critères et poids'!$G$13/2)</f>
        <v/>
      </c>
      <c r="R47" s="14">
        <f>IF($B47="","",IFERROR(VLOOKUP(N47,'Critères et poids'!$B$17:$C$20,2,FALSE),0))</f>
        <v/>
      </c>
      <c r="S47" s="9">
        <f>IF($B47="","",MAX(0,P47+Q47+R47))</f>
        <v/>
      </c>
      <c r="T47" s="9">
        <f>IF($B47="","",IF(O47&lt;&gt;"","X",IF(S47&gt;='Critères et poids'!$C$29,"A",IF(S47&gt;='Critères et poids'!$C$30,"B","C"))))</f>
        <v/>
      </c>
      <c r="U47" s="14">
        <f>IF(T47="","",INDEX('Critères et poids'!$D$29:$D$32,MATCH(T47,'Critères et poids'!$A$29:$A$32,0)))</f>
        <v/>
      </c>
      <c r="V47" s="14">
        <f>IF(T47="","",INDEX('Critères et poids'!$F$29:$F$32,MATCH(T47,'Critères et poids'!$A$29:$A$32,0)))</f>
        <v/>
      </c>
      <c r="W47" s="15">
        <f>IF(OR(AH47="",AJ47=""),"",IF(AI47+AJ47*60&lt;=ROUND('Critères et poids'!$C$37*1440,0),INT(AH47)+(AI47+AJ47*60)/1440,WORKDAY(INT(AH47),1+INT((AI47+AJ47*60-ROUND('Critères et poids'!$C$37*1440,0)-1)/(ROUND('Critères et poids'!$C$37*1440,0)-ROUND('Critères et poids'!$C$36*1440,0))))+(ROUND('Critères et poids'!$C$36*1440,0)+AI47+AJ47*60-ROUND('Critères et poids'!$C$37*1440,0)-INT((AI47+AJ47*60-ROUND('Critères et poids'!$C$37*1440,0)-1)/(ROUND('Critères et poids'!$C$37*1440,0)-ROUND('Critères et poids'!$C$36*1440,0)))*(ROUND('Critères et poids'!$C$37*1440,0)-ROUND('Critères et poids'!$C$36*1440,0)))/1440))</f>
        <v/>
      </c>
      <c r="X47" s="16" t="n"/>
      <c r="Y47" s="14">
        <f>IF(W47="","",IF(X47="",IF(NOW()&gt;W47,"En retard","En attente"),IF(X47&lt;=W47,"À temps","En retard")))</f>
        <v/>
      </c>
      <c r="Z47" s="17" t="n"/>
      <c r="AA47" s="14">
        <f>IF($B47="","",IF(OR(T47="X",AD47&lt;&gt;""),0,MAX(0,MIN(Q47,'Critères et poids'!$C$38*INT((TODAY()-IF(Z47&lt;&gt;"",Z47,INT($A47)))/7)))))</f>
        <v/>
      </c>
      <c r="AB47" s="14">
        <f>IF($B47="","",MAX(0,S47-AA47))</f>
        <v/>
      </c>
      <c r="AC47" s="9">
        <f>IF($B47="","",IF(T47="X","X",IF(AB47&gt;='Critères et poids'!$C$29,"A",IF(AB47&gt;='Critères et poids'!$C$30,"B","C"))))</f>
        <v/>
      </c>
      <c r="AD47" s="4" t="n"/>
      <c r="AE47" s="18" t="n"/>
      <c r="AF47" s="6" t="n"/>
      <c r="AH47">
        <f>IF($A47="","",IF(OR(WEEKDAY($A47,2)&gt;5,ROUND(MOD($A47,1)*1440,0)&gt;=ROUND('Critères et poids'!$C$37*1440,0)),WORKDAY(INT($A47),1)+ROUND('Critères et poids'!$C$36*1440,0)/1440,IF(ROUND(MOD($A47,1)*1440,0)&lt;ROUND('Critères et poids'!$C$36*1440,0),INT($A47)+ROUND('Critères et poids'!$C$36*1440,0)/1440,$A47)))</f>
        <v/>
      </c>
      <c r="AI47">
        <f>IF(AH47="","",ROUND(MOD(AH47,1)*1440,0))</f>
        <v/>
      </c>
      <c r="AJ47">
        <f>IF(T47="","",INDEX('Critères et poids'!$E$29:$E$32,MATCH(T47,'Critères et poids'!$A$29:$A$32,0)))</f>
        <v/>
      </c>
    </row>
    <row r="48">
      <c r="A48" s="13" t="n"/>
      <c r="B48" s="6" t="n"/>
      <c r="C48" s="6" t="n"/>
      <c r="D48" s="4" t="n"/>
      <c r="E48" s="4" t="n"/>
      <c r="F48" s="4" t="n"/>
      <c r="G48" s="4" t="n"/>
      <c r="H48" s="4" t="n"/>
      <c r="I48" s="4" t="n"/>
      <c r="J48" s="4" t="n"/>
      <c r="K48" s="4" t="n"/>
      <c r="L48" s="4" t="n"/>
      <c r="M48" s="4" t="n"/>
      <c r="N48" s="6" t="n"/>
      <c r="O48" s="6" t="n"/>
      <c r="P48" s="14">
        <f>IF($B48="","",(E48="Clair")*'Critères et poids'!$G$5+(E48="Partiel")*'Critères et poids'!$G$5/2+(F48="Clair")*'Critères et poids'!$G$6+(F48="Partiel")*'Critères et poids'!$G$6/2+(G48="Clair")*'Critères et poids'!$G$7+(G48="Partiel")*'Critères et poids'!$G$7/2+(H48="Clair")*'Critères et poids'!$G$8+(H48="Partiel")*'Critères et poids'!$G$8/2)</f>
        <v/>
      </c>
      <c r="Q48" s="14">
        <f>IF($B48="","",(I48="Clair")*'Critères et poids'!$G$9+(I48="Partiel")*'Critères et poids'!$G$9/2+(J48="Clair")*'Critères et poids'!$G$10+(J48="Partiel")*'Critères et poids'!$G$10/2+(K48="Clair")*'Critères et poids'!$G$11+(K48="Partiel")*'Critères et poids'!$G$11/2+(L48="Clair")*'Critères et poids'!$G$12+(L48="Partiel")*'Critères et poids'!$G$12/2+(M48="Clair")*'Critères et poids'!$G$13+(M48="Partiel")*'Critères et poids'!$G$13/2)</f>
        <v/>
      </c>
      <c r="R48" s="14">
        <f>IF($B48="","",IFERROR(VLOOKUP(N48,'Critères et poids'!$B$17:$C$20,2,FALSE),0))</f>
        <v/>
      </c>
      <c r="S48" s="9">
        <f>IF($B48="","",MAX(0,P48+Q48+R48))</f>
        <v/>
      </c>
      <c r="T48" s="9">
        <f>IF($B48="","",IF(O48&lt;&gt;"","X",IF(S48&gt;='Critères et poids'!$C$29,"A",IF(S48&gt;='Critères et poids'!$C$30,"B","C"))))</f>
        <v/>
      </c>
      <c r="U48" s="14">
        <f>IF(T48="","",INDEX('Critères et poids'!$D$29:$D$32,MATCH(T48,'Critères et poids'!$A$29:$A$32,0)))</f>
        <v/>
      </c>
      <c r="V48" s="14">
        <f>IF(T48="","",INDEX('Critères et poids'!$F$29:$F$32,MATCH(T48,'Critères et poids'!$A$29:$A$32,0)))</f>
        <v/>
      </c>
      <c r="W48" s="15">
        <f>IF(OR(AH48="",AJ48=""),"",IF(AI48+AJ48*60&lt;=ROUND('Critères et poids'!$C$37*1440,0),INT(AH48)+(AI48+AJ48*60)/1440,WORKDAY(INT(AH48),1+INT((AI48+AJ48*60-ROUND('Critères et poids'!$C$37*1440,0)-1)/(ROUND('Critères et poids'!$C$37*1440,0)-ROUND('Critères et poids'!$C$36*1440,0))))+(ROUND('Critères et poids'!$C$36*1440,0)+AI48+AJ48*60-ROUND('Critères et poids'!$C$37*1440,0)-INT((AI48+AJ48*60-ROUND('Critères et poids'!$C$37*1440,0)-1)/(ROUND('Critères et poids'!$C$37*1440,0)-ROUND('Critères et poids'!$C$36*1440,0)))*(ROUND('Critères et poids'!$C$37*1440,0)-ROUND('Critères et poids'!$C$36*1440,0)))/1440))</f>
        <v/>
      </c>
      <c r="X48" s="16" t="n"/>
      <c r="Y48" s="14">
        <f>IF(W48="","",IF(X48="",IF(NOW()&gt;W48,"En retard","En attente"),IF(X48&lt;=W48,"À temps","En retard")))</f>
        <v/>
      </c>
      <c r="Z48" s="17" t="n"/>
      <c r="AA48" s="14">
        <f>IF($B48="","",IF(OR(T48="X",AD48&lt;&gt;""),0,MAX(0,MIN(Q48,'Critères et poids'!$C$38*INT((TODAY()-IF(Z48&lt;&gt;"",Z48,INT($A48)))/7)))))</f>
        <v/>
      </c>
      <c r="AB48" s="14">
        <f>IF($B48="","",MAX(0,S48-AA48))</f>
        <v/>
      </c>
      <c r="AC48" s="9">
        <f>IF($B48="","",IF(T48="X","X",IF(AB48&gt;='Critères et poids'!$C$29,"A",IF(AB48&gt;='Critères et poids'!$C$30,"B","C"))))</f>
        <v/>
      </c>
      <c r="AD48" s="4" t="n"/>
      <c r="AE48" s="18" t="n"/>
      <c r="AF48" s="6" t="n"/>
      <c r="AH48">
        <f>IF($A48="","",IF(OR(WEEKDAY($A48,2)&gt;5,ROUND(MOD($A48,1)*1440,0)&gt;=ROUND('Critères et poids'!$C$37*1440,0)),WORKDAY(INT($A48),1)+ROUND('Critères et poids'!$C$36*1440,0)/1440,IF(ROUND(MOD($A48,1)*1440,0)&lt;ROUND('Critères et poids'!$C$36*1440,0),INT($A48)+ROUND('Critères et poids'!$C$36*1440,0)/1440,$A48)))</f>
        <v/>
      </c>
      <c r="AI48">
        <f>IF(AH48="","",ROUND(MOD(AH48,1)*1440,0))</f>
        <v/>
      </c>
      <c r="AJ48">
        <f>IF(T48="","",INDEX('Critères et poids'!$E$29:$E$32,MATCH(T48,'Critères et poids'!$A$29:$A$32,0)))</f>
        <v/>
      </c>
    </row>
    <row r="49">
      <c r="A49" s="13" t="n"/>
      <c r="B49" s="6" t="n"/>
      <c r="C49" s="6" t="n"/>
      <c r="D49" s="4" t="n"/>
      <c r="E49" s="4" t="n"/>
      <c r="F49" s="4" t="n"/>
      <c r="G49" s="4" t="n"/>
      <c r="H49" s="4" t="n"/>
      <c r="I49" s="4" t="n"/>
      <c r="J49" s="4" t="n"/>
      <c r="K49" s="4" t="n"/>
      <c r="L49" s="4" t="n"/>
      <c r="M49" s="4" t="n"/>
      <c r="N49" s="6" t="n"/>
      <c r="O49" s="6" t="n"/>
      <c r="P49" s="14">
        <f>IF($B49="","",(E49="Clair")*'Critères et poids'!$G$5+(E49="Partiel")*'Critères et poids'!$G$5/2+(F49="Clair")*'Critères et poids'!$G$6+(F49="Partiel")*'Critères et poids'!$G$6/2+(G49="Clair")*'Critères et poids'!$G$7+(G49="Partiel")*'Critères et poids'!$G$7/2+(H49="Clair")*'Critères et poids'!$G$8+(H49="Partiel")*'Critères et poids'!$G$8/2)</f>
        <v/>
      </c>
      <c r="Q49" s="14">
        <f>IF($B49="","",(I49="Clair")*'Critères et poids'!$G$9+(I49="Partiel")*'Critères et poids'!$G$9/2+(J49="Clair")*'Critères et poids'!$G$10+(J49="Partiel")*'Critères et poids'!$G$10/2+(K49="Clair")*'Critères et poids'!$G$11+(K49="Partiel")*'Critères et poids'!$G$11/2+(L49="Clair")*'Critères et poids'!$G$12+(L49="Partiel")*'Critères et poids'!$G$12/2+(M49="Clair")*'Critères et poids'!$G$13+(M49="Partiel")*'Critères et poids'!$G$13/2)</f>
        <v/>
      </c>
      <c r="R49" s="14">
        <f>IF($B49="","",IFERROR(VLOOKUP(N49,'Critères et poids'!$B$17:$C$20,2,FALSE),0))</f>
        <v/>
      </c>
      <c r="S49" s="9">
        <f>IF($B49="","",MAX(0,P49+Q49+R49))</f>
        <v/>
      </c>
      <c r="T49" s="9">
        <f>IF($B49="","",IF(O49&lt;&gt;"","X",IF(S49&gt;='Critères et poids'!$C$29,"A",IF(S49&gt;='Critères et poids'!$C$30,"B","C"))))</f>
        <v/>
      </c>
      <c r="U49" s="14">
        <f>IF(T49="","",INDEX('Critères et poids'!$D$29:$D$32,MATCH(T49,'Critères et poids'!$A$29:$A$32,0)))</f>
        <v/>
      </c>
      <c r="V49" s="14">
        <f>IF(T49="","",INDEX('Critères et poids'!$F$29:$F$32,MATCH(T49,'Critères et poids'!$A$29:$A$32,0)))</f>
        <v/>
      </c>
      <c r="W49" s="15">
        <f>IF(OR(AH49="",AJ49=""),"",IF(AI49+AJ49*60&lt;=ROUND('Critères et poids'!$C$37*1440,0),INT(AH49)+(AI49+AJ49*60)/1440,WORKDAY(INT(AH49),1+INT((AI49+AJ49*60-ROUND('Critères et poids'!$C$37*1440,0)-1)/(ROUND('Critères et poids'!$C$37*1440,0)-ROUND('Critères et poids'!$C$36*1440,0))))+(ROUND('Critères et poids'!$C$36*1440,0)+AI49+AJ49*60-ROUND('Critères et poids'!$C$37*1440,0)-INT((AI49+AJ49*60-ROUND('Critères et poids'!$C$37*1440,0)-1)/(ROUND('Critères et poids'!$C$37*1440,0)-ROUND('Critères et poids'!$C$36*1440,0)))*(ROUND('Critères et poids'!$C$37*1440,0)-ROUND('Critères et poids'!$C$36*1440,0)))/1440))</f>
        <v/>
      </c>
      <c r="X49" s="16" t="n"/>
      <c r="Y49" s="14">
        <f>IF(W49="","",IF(X49="",IF(NOW()&gt;W49,"En retard","En attente"),IF(X49&lt;=W49,"À temps","En retard")))</f>
        <v/>
      </c>
      <c r="Z49" s="17" t="n"/>
      <c r="AA49" s="14">
        <f>IF($B49="","",IF(OR(T49="X",AD49&lt;&gt;""),0,MAX(0,MIN(Q49,'Critères et poids'!$C$38*INT((TODAY()-IF(Z49&lt;&gt;"",Z49,INT($A49)))/7)))))</f>
        <v/>
      </c>
      <c r="AB49" s="14">
        <f>IF($B49="","",MAX(0,S49-AA49))</f>
        <v/>
      </c>
      <c r="AC49" s="9">
        <f>IF($B49="","",IF(T49="X","X",IF(AB49&gt;='Critères et poids'!$C$29,"A",IF(AB49&gt;='Critères et poids'!$C$30,"B","C"))))</f>
        <v/>
      </c>
      <c r="AD49" s="4" t="n"/>
      <c r="AE49" s="18" t="n"/>
      <c r="AF49" s="6" t="n"/>
      <c r="AH49">
        <f>IF($A49="","",IF(OR(WEEKDAY($A49,2)&gt;5,ROUND(MOD($A49,1)*1440,0)&gt;=ROUND('Critères et poids'!$C$37*1440,0)),WORKDAY(INT($A49),1)+ROUND('Critères et poids'!$C$36*1440,0)/1440,IF(ROUND(MOD($A49,1)*1440,0)&lt;ROUND('Critères et poids'!$C$36*1440,0),INT($A49)+ROUND('Critères et poids'!$C$36*1440,0)/1440,$A49)))</f>
        <v/>
      </c>
      <c r="AI49">
        <f>IF(AH49="","",ROUND(MOD(AH49,1)*1440,0))</f>
        <v/>
      </c>
      <c r="AJ49">
        <f>IF(T49="","",INDEX('Critères et poids'!$E$29:$E$32,MATCH(T49,'Critères et poids'!$A$29:$A$32,0)))</f>
        <v/>
      </c>
    </row>
    <row r="50">
      <c r="A50" s="13" t="n"/>
      <c r="B50" s="6" t="n"/>
      <c r="C50" s="6" t="n"/>
      <c r="D50" s="4" t="n"/>
      <c r="E50" s="4" t="n"/>
      <c r="F50" s="4" t="n"/>
      <c r="G50" s="4" t="n"/>
      <c r="H50" s="4" t="n"/>
      <c r="I50" s="4" t="n"/>
      <c r="J50" s="4" t="n"/>
      <c r="K50" s="4" t="n"/>
      <c r="L50" s="4" t="n"/>
      <c r="M50" s="4" t="n"/>
      <c r="N50" s="6" t="n"/>
      <c r="O50" s="6" t="n"/>
      <c r="P50" s="14">
        <f>IF($B50="","",(E50="Clair")*'Critères et poids'!$G$5+(E50="Partiel")*'Critères et poids'!$G$5/2+(F50="Clair")*'Critères et poids'!$G$6+(F50="Partiel")*'Critères et poids'!$G$6/2+(G50="Clair")*'Critères et poids'!$G$7+(G50="Partiel")*'Critères et poids'!$G$7/2+(H50="Clair")*'Critères et poids'!$G$8+(H50="Partiel")*'Critères et poids'!$G$8/2)</f>
        <v/>
      </c>
      <c r="Q50" s="14">
        <f>IF($B50="","",(I50="Clair")*'Critères et poids'!$G$9+(I50="Partiel")*'Critères et poids'!$G$9/2+(J50="Clair")*'Critères et poids'!$G$10+(J50="Partiel")*'Critères et poids'!$G$10/2+(K50="Clair")*'Critères et poids'!$G$11+(K50="Partiel")*'Critères et poids'!$G$11/2+(L50="Clair")*'Critères et poids'!$G$12+(L50="Partiel")*'Critères et poids'!$G$12/2+(M50="Clair")*'Critères et poids'!$G$13+(M50="Partiel")*'Critères et poids'!$G$13/2)</f>
        <v/>
      </c>
      <c r="R50" s="14">
        <f>IF($B50="","",IFERROR(VLOOKUP(N50,'Critères et poids'!$B$17:$C$20,2,FALSE),0))</f>
        <v/>
      </c>
      <c r="S50" s="9">
        <f>IF($B50="","",MAX(0,P50+Q50+R50))</f>
        <v/>
      </c>
      <c r="T50" s="9">
        <f>IF($B50="","",IF(O50&lt;&gt;"","X",IF(S50&gt;='Critères et poids'!$C$29,"A",IF(S50&gt;='Critères et poids'!$C$30,"B","C"))))</f>
        <v/>
      </c>
      <c r="U50" s="14">
        <f>IF(T50="","",INDEX('Critères et poids'!$D$29:$D$32,MATCH(T50,'Critères et poids'!$A$29:$A$32,0)))</f>
        <v/>
      </c>
      <c r="V50" s="14">
        <f>IF(T50="","",INDEX('Critères et poids'!$F$29:$F$32,MATCH(T50,'Critères et poids'!$A$29:$A$32,0)))</f>
        <v/>
      </c>
      <c r="W50" s="15">
        <f>IF(OR(AH50="",AJ50=""),"",IF(AI50+AJ50*60&lt;=ROUND('Critères et poids'!$C$37*1440,0),INT(AH50)+(AI50+AJ50*60)/1440,WORKDAY(INT(AH50),1+INT((AI50+AJ50*60-ROUND('Critères et poids'!$C$37*1440,0)-1)/(ROUND('Critères et poids'!$C$37*1440,0)-ROUND('Critères et poids'!$C$36*1440,0))))+(ROUND('Critères et poids'!$C$36*1440,0)+AI50+AJ50*60-ROUND('Critères et poids'!$C$37*1440,0)-INT((AI50+AJ50*60-ROUND('Critères et poids'!$C$37*1440,0)-1)/(ROUND('Critères et poids'!$C$37*1440,0)-ROUND('Critères et poids'!$C$36*1440,0)))*(ROUND('Critères et poids'!$C$37*1440,0)-ROUND('Critères et poids'!$C$36*1440,0)))/1440))</f>
        <v/>
      </c>
      <c r="X50" s="16" t="n"/>
      <c r="Y50" s="14">
        <f>IF(W50="","",IF(X50="",IF(NOW()&gt;W50,"En retard","En attente"),IF(X50&lt;=W50,"À temps","En retard")))</f>
        <v/>
      </c>
      <c r="Z50" s="17" t="n"/>
      <c r="AA50" s="14">
        <f>IF($B50="","",IF(OR(T50="X",AD50&lt;&gt;""),0,MAX(0,MIN(Q50,'Critères et poids'!$C$38*INT((TODAY()-IF(Z50&lt;&gt;"",Z50,INT($A50)))/7)))))</f>
        <v/>
      </c>
      <c r="AB50" s="14">
        <f>IF($B50="","",MAX(0,S50-AA50))</f>
        <v/>
      </c>
      <c r="AC50" s="9">
        <f>IF($B50="","",IF(T50="X","X",IF(AB50&gt;='Critères et poids'!$C$29,"A",IF(AB50&gt;='Critères et poids'!$C$30,"B","C"))))</f>
        <v/>
      </c>
      <c r="AD50" s="4" t="n"/>
      <c r="AE50" s="18" t="n"/>
      <c r="AF50" s="6" t="n"/>
      <c r="AH50">
        <f>IF($A50="","",IF(OR(WEEKDAY($A50,2)&gt;5,ROUND(MOD($A50,1)*1440,0)&gt;=ROUND('Critères et poids'!$C$37*1440,0)),WORKDAY(INT($A50),1)+ROUND('Critères et poids'!$C$36*1440,0)/1440,IF(ROUND(MOD($A50,1)*1440,0)&lt;ROUND('Critères et poids'!$C$36*1440,0),INT($A50)+ROUND('Critères et poids'!$C$36*1440,0)/1440,$A50)))</f>
        <v/>
      </c>
      <c r="AI50">
        <f>IF(AH50="","",ROUND(MOD(AH50,1)*1440,0))</f>
        <v/>
      </c>
      <c r="AJ50">
        <f>IF(T50="","",INDEX('Critères et poids'!$E$29:$E$32,MATCH(T50,'Critères et poids'!$A$29:$A$32,0)))</f>
        <v/>
      </c>
    </row>
    <row r="51">
      <c r="A51" s="13" t="n"/>
      <c r="B51" s="6" t="n"/>
      <c r="C51" s="6" t="n"/>
      <c r="D51" s="4" t="n"/>
      <c r="E51" s="4" t="n"/>
      <c r="F51" s="4" t="n"/>
      <c r="G51" s="4" t="n"/>
      <c r="H51" s="4" t="n"/>
      <c r="I51" s="4" t="n"/>
      <c r="J51" s="4" t="n"/>
      <c r="K51" s="4" t="n"/>
      <c r="L51" s="4" t="n"/>
      <c r="M51" s="4" t="n"/>
      <c r="N51" s="6" t="n"/>
      <c r="O51" s="6" t="n"/>
      <c r="P51" s="14">
        <f>IF($B51="","",(E51="Clair")*'Critères et poids'!$G$5+(E51="Partiel")*'Critères et poids'!$G$5/2+(F51="Clair")*'Critères et poids'!$G$6+(F51="Partiel")*'Critères et poids'!$G$6/2+(G51="Clair")*'Critères et poids'!$G$7+(G51="Partiel")*'Critères et poids'!$G$7/2+(H51="Clair")*'Critères et poids'!$G$8+(H51="Partiel")*'Critères et poids'!$G$8/2)</f>
        <v/>
      </c>
      <c r="Q51" s="14">
        <f>IF($B51="","",(I51="Clair")*'Critères et poids'!$G$9+(I51="Partiel")*'Critères et poids'!$G$9/2+(J51="Clair")*'Critères et poids'!$G$10+(J51="Partiel")*'Critères et poids'!$G$10/2+(K51="Clair")*'Critères et poids'!$G$11+(K51="Partiel")*'Critères et poids'!$G$11/2+(L51="Clair")*'Critères et poids'!$G$12+(L51="Partiel")*'Critères et poids'!$G$12/2+(M51="Clair")*'Critères et poids'!$G$13+(M51="Partiel")*'Critères et poids'!$G$13/2)</f>
        <v/>
      </c>
      <c r="R51" s="14">
        <f>IF($B51="","",IFERROR(VLOOKUP(N51,'Critères et poids'!$B$17:$C$20,2,FALSE),0))</f>
        <v/>
      </c>
      <c r="S51" s="9">
        <f>IF($B51="","",MAX(0,P51+Q51+R51))</f>
        <v/>
      </c>
      <c r="T51" s="9">
        <f>IF($B51="","",IF(O51&lt;&gt;"","X",IF(S51&gt;='Critères et poids'!$C$29,"A",IF(S51&gt;='Critères et poids'!$C$30,"B","C"))))</f>
        <v/>
      </c>
      <c r="U51" s="14">
        <f>IF(T51="","",INDEX('Critères et poids'!$D$29:$D$32,MATCH(T51,'Critères et poids'!$A$29:$A$32,0)))</f>
        <v/>
      </c>
      <c r="V51" s="14">
        <f>IF(T51="","",INDEX('Critères et poids'!$F$29:$F$32,MATCH(T51,'Critères et poids'!$A$29:$A$32,0)))</f>
        <v/>
      </c>
      <c r="W51" s="15">
        <f>IF(OR(AH51="",AJ51=""),"",IF(AI51+AJ51*60&lt;=ROUND('Critères et poids'!$C$37*1440,0),INT(AH51)+(AI51+AJ51*60)/1440,WORKDAY(INT(AH51),1+INT((AI51+AJ51*60-ROUND('Critères et poids'!$C$37*1440,0)-1)/(ROUND('Critères et poids'!$C$37*1440,0)-ROUND('Critères et poids'!$C$36*1440,0))))+(ROUND('Critères et poids'!$C$36*1440,0)+AI51+AJ51*60-ROUND('Critères et poids'!$C$37*1440,0)-INT((AI51+AJ51*60-ROUND('Critères et poids'!$C$37*1440,0)-1)/(ROUND('Critères et poids'!$C$37*1440,0)-ROUND('Critères et poids'!$C$36*1440,0)))*(ROUND('Critères et poids'!$C$37*1440,0)-ROUND('Critères et poids'!$C$36*1440,0)))/1440))</f>
        <v/>
      </c>
      <c r="X51" s="16" t="n"/>
      <c r="Y51" s="14">
        <f>IF(W51="","",IF(X51="",IF(NOW()&gt;W51,"En retard","En attente"),IF(X51&lt;=W51,"À temps","En retard")))</f>
        <v/>
      </c>
      <c r="Z51" s="17" t="n"/>
      <c r="AA51" s="14">
        <f>IF($B51="","",IF(OR(T51="X",AD51&lt;&gt;""),0,MAX(0,MIN(Q51,'Critères et poids'!$C$38*INT((TODAY()-IF(Z51&lt;&gt;"",Z51,INT($A51)))/7)))))</f>
        <v/>
      </c>
      <c r="AB51" s="14">
        <f>IF($B51="","",MAX(0,S51-AA51))</f>
        <v/>
      </c>
      <c r="AC51" s="9">
        <f>IF($B51="","",IF(T51="X","X",IF(AB51&gt;='Critères et poids'!$C$29,"A",IF(AB51&gt;='Critères et poids'!$C$30,"B","C"))))</f>
        <v/>
      </c>
      <c r="AD51" s="4" t="n"/>
      <c r="AE51" s="18" t="n"/>
      <c r="AF51" s="6" t="n"/>
      <c r="AH51">
        <f>IF($A51="","",IF(OR(WEEKDAY($A51,2)&gt;5,ROUND(MOD($A51,1)*1440,0)&gt;=ROUND('Critères et poids'!$C$37*1440,0)),WORKDAY(INT($A51),1)+ROUND('Critères et poids'!$C$36*1440,0)/1440,IF(ROUND(MOD($A51,1)*1440,0)&lt;ROUND('Critères et poids'!$C$36*1440,0),INT($A51)+ROUND('Critères et poids'!$C$36*1440,0)/1440,$A51)))</f>
        <v/>
      </c>
      <c r="AI51">
        <f>IF(AH51="","",ROUND(MOD(AH51,1)*1440,0))</f>
        <v/>
      </c>
      <c r="AJ51">
        <f>IF(T51="","",INDEX('Critères et poids'!$E$29:$E$32,MATCH(T51,'Critères et poids'!$A$29:$A$32,0)))</f>
        <v/>
      </c>
    </row>
    <row r="52">
      <c r="A52" s="13" t="n"/>
      <c r="B52" s="6" t="n"/>
      <c r="C52" s="6" t="n"/>
      <c r="D52" s="4" t="n"/>
      <c r="E52" s="4" t="n"/>
      <c r="F52" s="4" t="n"/>
      <c r="G52" s="4" t="n"/>
      <c r="H52" s="4" t="n"/>
      <c r="I52" s="4" t="n"/>
      <c r="J52" s="4" t="n"/>
      <c r="K52" s="4" t="n"/>
      <c r="L52" s="4" t="n"/>
      <c r="M52" s="4" t="n"/>
      <c r="N52" s="6" t="n"/>
      <c r="O52" s="6" t="n"/>
      <c r="P52" s="14">
        <f>IF($B52="","",(E52="Clair")*'Critères et poids'!$G$5+(E52="Partiel")*'Critères et poids'!$G$5/2+(F52="Clair")*'Critères et poids'!$G$6+(F52="Partiel")*'Critères et poids'!$G$6/2+(G52="Clair")*'Critères et poids'!$G$7+(G52="Partiel")*'Critères et poids'!$G$7/2+(H52="Clair")*'Critères et poids'!$G$8+(H52="Partiel")*'Critères et poids'!$G$8/2)</f>
        <v/>
      </c>
      <c r="Q52" s="14">
        <f>IF($B52="","",(I52="Clair")*'Critères et poids'!$G$9+(I52="Partiel")*'Critères et poids'!$G$9/2+(J52="Clair")*'Critères et poids'!$G$10+(J52="Partiel")*'Critères et poids'!$G$10/2+(K52="Clair")*'Critères et poids'!$G$11+(K52="Partiel")*'Critères et poids'!$G$11/2+(L52="Clair")*'Critères et poids'!$G$12+(L52="Partiel")*'Critères et poids'!$G$12/2+(M52="Clair")*'Critères et poids'!$G$13+(M52="Partiel")*'Critères et poids'!$G$13/2)</f>
        <v/>
      </c>
      <c r="R52" s="14">
        <f>IF($B52="","",IFERROR(VLOOKUP(N52,'Critères et poids'!$B$17:$C$20,2,FALSE),0))</f>
        <v/>
      </c>
      <c r="S52" s="9">
        <f>IF($B52="","",MAX(0,P52+Q52+R52))</f>
        <v/>
      </c>
      <c r="T52" s="9">
        <f>IF($B52="","",IF(O52&lt;&gt;"","X",IF(S52&gt;='Critères et poids'!$C$29,"A",IF(S52&gt;='Critères et poids'!$C$30,"B","C"))))</f>
        <v/>
      </c>
      <c r="U52" s="14">
        <f>IF(T52="","",INDEX('Critères et poids'!$D$29:$D$32,MATCH(T52,'Critères et poids'!$A$29:$A$32,0)))</f>
        <v/>
      </c>
      <c r="V52" s="14">
        <f>IF(T52="","",INDEX('Critères et poids'!$F$29:$F$32,MATCH(T52,'Critères et poids'!$A$29:$A$32,0)))</f>
        <v/>
      </c>
      <c r="W52" s="15">
        <f>IF(OR(AH52="",AJ52=""),"",IF(AI52+AJ52*60&lt;=ROUND('Critères et poids'!$C$37*1440,0),INT(AH52)+(AI52+AJ52*60)/1440,WORKDAY(INT(AH52),1+INT((AI52+AJ52*60-ROUND('Critères et poids'!$C$37*1440,0)-1)/(ROUND('Critères et poids'!$C$37*1440,0)-ROUND('Critères et poids'!$C$36*1440,0))))+(ROUND('Critères et poids'!$C$36*1440,0)+AI52+AJ52*60-ROUND('Critères et poids'!$C$37*1440,0)-INT((AI52+AJ52*60-ROUND('Critères et poids'!$C$37*1440,0)-1)/(ROUND('Critères et poids'!$C$37*1440,0)-ROUND('Critères et poids'!$C$36*1440,0)))*(ROUND('Critères et poids'!$C$37*1440,0)-ROUND('Critères et poids'!$C$36*1440,0)))/1440))</f>
        <v/>
      </c>
      <c r="X52" s="16" t="n"/>
      <c r="Y52" s="14">
        <f>IF(W52="","",IF(X52="",IF(NOW()&gt;W52,"En retard","En attente"),IF(X52&lt;=W52,"À temps","En retard")))</f>
        <v/>
      </c>
      <c r="Z52" s="17" t="n"/>
      <c r="AA52" s="14">
        <f>IF($B52="","",IF(OR(T52="X",AD52&lt;&gt;""),0,MAX(0,MIN(Q52,'Critères et poids'!$C$38*INT((TODAY()-IF(Z52&lt;&gt;"",Z52,INT($A52)))/7)))))</f>
        <v/>
      </c>
      <c r="AB52" s="14">
        <f>IF($B52="","",MAX(0,S52-AA52))</f>
        <v/>
      </c>
      <c r="AC52" s="9">
        <f>IF($B52="","",IF(T52="X","X",IF(AB52&gt;='Critères et poids'!$C$29,"A",IF(AB52&gt;='Critères et poids'!$C$30,"B","C"))))</f>
        <v/>
      </c>
      <c r="AD52" s="4" t="n"/>
      <c r="AE52" s="18" t="n"/>
      <c r="AF52" s="6" t="n"/>
      <c r="AH52">
        <f>IF($A52="","",IF(OR(WEEKDAY($A52,2)&gt;5,ROUND(MOD($A52,1)*1440,0)&gt;=ROUND('Critères et poids'!$C$37*1440,0)),WORKDAY(INT($A52),1)+ROUND('Critères et poids'!$C$36*1440,0)/1440,IF(ROUND(MOD($A52,1)*1440,0)&lt;ROUND('Critères et poids'!$C$36*1440,0),INT($A52)+ROUND('Critères et poids'!$C$36*1440,0)/1440,$A52)))</f>
        <v/>
      </c>
      <c r="AI52">
        <f>IF(AH52="","",ROUND(MOD(AH52,1)*1440,0))</f>
        <v/>
      </c>
      <c r="AJ52">
        <f>IF(T52="","",INDEX('Critères et poids'!$E$29:$E$32,MATCH(T52,'Critères et poids'!$A$29:$A$32,0)))</f>
        <v/>
      </c>
    </row>
    <row r="53">
      <c r="A53" s="13" t="n"/>
      <c r="B53" s="6" t="n"/>
      <c r="C53" s="6" t="n"/>
      <c r="D53" s="4" t="n"/>
      <c r="E53" s="4" t="n"/>
      <c r="F53" s="4" t="n"/>
      <c r="G53" s="4" t="n"/>
      <c r="H53" s="4" t="n"/>
      <c r="I53" s="4" t="n"/>
      <c r="J53" s="4" t="n"/>
      <c r="K53" s="4" t="n"/>
      <c r="L53" s="4" t="n"/>
      <c r="M53" s="4" t="n"/>
      <c r="N53" s="6" t="n"/>
      <c r="O53" s="6" t="n"/>
      <c r="P53" s="14">
        <f>IF($B53="","",(E53="Clair")*'Critères et poids'!$G$5+(E53="Partiel")*'Critères et poids'!$G$5/2+(F53="Clair")*'Critères et poids'!$G$6+(F53="Partiel")*'Critères et poids'!$G$6/2+(G53="Clair")*'Critères et poids'!$G$7+(G53="Partiel")*'Critères et poids'!$G$7/2+(H53="Clair")*'Critères et poids'!$G$8+(H53="Partiel")*'Critères et poids'!$G$8/2)</f>
        <v/>
      </c>
      <c r="Q53" s="14">
        <f>IF($B53="","",(I53="Clair")*'Critères et poids'!$G$9+(I53="Partiel")*'Critères et poids'!$G$9/2+(J53="Clair")*'Critères et poids'!$G$10+(J53="Partiel")*'Critères et poids'!$G$10/2+(K53="Clair")*'Critères et poids'!$G$11+(K53="Partiel")*'Critères et poids'!$G$11/2+(L53="Clair")*'Critères et poids'!$G$12+(L53="Partiel")*'Critères et poids'!$G$12/2+(M53="Clair")*'Critères et poids'!$G$13+(M53="Partiel")*'Critères et poids'!$G$13/2)</f>
        <v/>
      </c>
      <c r="R53" s="14">
        <f>IF($B53="","",IFERROR(VLOOKUP(N53,'Critères et poids'!$B$17:$C$20,2,FALSE),0))</f>
        <v/>
      </c>
      <c r="S53" s="9">
        <f>IF($B53="","",MAX(0,P53+Q53+R53))</f>
        <v/>
      </c>
      <c r="T53" s="9">
        <f>IF($B53="","",IF(O53&lt;&gt;"","X",IF(S53&gt;='Critères et poids'!$C$29,"A",IF(S53&gt;='Critères et poids'!$C$30,"B","C"))))</f>
        <v/>
      </c>
      <c r="U53" s="14">
        <f>IF(T53="","",INDEX('Critères et poids'!$D$29:$D$32,MATCH(T53,'Critères et poids'!$A$29:$A$32,0)))</f>
        <v/>
      </c>
      <c r="V53" s="14">
        <f>IF(T53="","",INDEX('Critères et poids'!$F$29:$F$32,MATCH(T53,'Critères et poids'!$A$29:$A$32,0)))</f>
        <v/>
      </c>
      <c r="W53" s="15">
        <f>IF(OR(AH53="",AJ53=""),"",IF(AI53+AJ53*60&lt;=ROUND('Critères et poids'!$C$37*1440,0),INT(AH53)+(AI53+AJ53*60)/1440,WORKDAY(INT(AH53),1+INT((AI53+AJ53*60-ROUND('Critères et poids'!$C$37*1440,0)-1)/(ROUND('Critères et poids'!$C$37*1440,0)-ROUND('Critères et poids'!$C$36*1440,0))))+(ROUND('Critères et poids'!$C$36*1440,0)+AI53+AJ53*60-ROUND('Critères et poids'!$C$37*1440,0)-INT((AI53+AJ53*60-ROUND('Critères et poids'!$C$37*1440,0)-1)/(ROUND('Critères et poids'!$C$37*1440,0)-ROUND('Critères et poids'!$C$36*1440,0)))*(ROUND('Critères et poids'!$C$37*1440,0)-ROUND('Critères et poids'!$C$36*1440,0)))/1440))</f>
        <v/>
      </c>
      <c r="X53" s="16" t="n"/>
      <c r="Y53" s="14">
        <f>IF(W53="","",IF(X53="",IF(NOW()&gt;W53,"En retard","En attente"),IF(X53&lt;=W53,"À temps","En retard")))</f>
        <v/>
      </c>
      <c r="Z53" s="17" t="n"/>
      <c r="AA53" s="14">
        <f>IF($B53="","",IF(OR(T53="X",AD53&lt;&gt;""),0,MAX(0,MIN(Q53,'Critères et poids'!$C$38*INT((TODAY()-IF(Z53&lt;&gt;"",Z53,INT($A53)))/7)))))</f>
        <v/>
      </c>
      <c r="AB53" s="14">
        <f>IF($B53="","",MAX(0,S53-AA53))</f>
        <v/>
      </c>
      <c r="AC53" s="9">
        <f>IF($B53="","",IF(T53="X","X",IF(AB53&gt;='Critères et poids'!$C$29,"A",IF(AB53&gt;='Critères et poids'!$C$30,"B","C"))))</f>
        <v/>
      </c>
      <c r="AD53" s="4" t="n"/>
      <c r="AE53" s="18" t="n"/>
      <c r="AF53" s="6" t="n"/>
      <c r="AH53">
        <f>IF($A53="","",IF(OR(WEEKDAY($A53,2)&gt;5,ROUND(MOD($A53,1)*1440,0)&gt;=ROUND('Critères et poids'!$C$37*1440,0)),WORKDAY(INT($A53),1)+ROUND('Critères et poids'!$C$36*1440,0)/1440,IF(ROUND(MOD($A53,1)*1440,0)&lt;ROUND('Critères et poids'!$C$36*1440,0),INT($A53)+ROUND('Critères et poids'!$C$36*1440,0)/1440,$A53)))</f>
        <v/>
      </c>
      <c r="AI53">
        <f>IF(AH53="","",ROUND(MOD(AH53,1)*1440,0))</f>
        <v/>
      </c>
      <c r="AJ53">
        <f>IF(T53="","",INDEX('Critères et poids'!$E$29:$E$32,MATCH(T53,'Critères et poids'!$A$29:$A$32,0)))</f>
        <v/>
      </c>
    </row>
    <row r="54">
      <c r="A54" s="13" t="n"/>
      <c r="B54" s="6" t="n"/>
      <c r="C54" s="6" t="n"/>
      <c r="D54" s="4" t="n"/>
      <c r="E54" s="4" t="n"/>
      <c r="F54" s="4" t="n"/>
      <c r="G54" s="4" t="n"/>
      <c r="H54" s="4" t="n"/>
      <c r="I54" s="4" t="n"/>
      <c r="J54" s="4" t="n"/>
      <c r="K54" s="4" t="n"/>
      <c r="L54" s="4" t="n"/>
      <c r="M54" s="4" t="n"/>
      <c r="N54" s="6" t="n"/>
      <c r="O54" s="6" t="n"/>
      <c r="P54" s="14">
        <f>IF($B54="","",(E54="Clair")*'Critères et poids'!$G$5+(E54="Partiel")*'Critères et poids'!$G$5/2+(F54="Clair")*'Critères et poids'!$G$6+(F54="Partiel")*'Critères et poids'!$G$6/2+(G54="Clair")*'Critères et poids'!$G$7+(G54="Partiel")*'Critères et poids'!$G$7/2+(H54="Clair")*'Critères et poids'!$G$8+(H54="Partiel")*'Critères et poids'!$G$8/2)</f>
        <v/>
      </c>
      <c r="Q54" s="14">
        <f>IF($B54="","",(I54="Clair")*'Critères et poids'!$G$9+(I54="Partiel")*'Critères et poids'!$G$9/2+(J54="Clair")*'Critères et poids'!$G$10+(J54="Partiel")*'Critères et poids'!$G$10/2+(K54="Clair")*'Critères et poids'!$G$11+(K54="Partiel")*'Critères et poids'!$G$11/2+(L54="Clair")*'Critères et poids'!$G$12+(L54="Partiel")*'Critères et poids'!$G$12/2+(M54="Clair")*'Critères et poids'!$G$13+(M54="Partiel")*'Critères et poids'!$G$13/2)</f>
        <v/>
      </c>
      <c r="R54" s="14">
        <f>IF($B54="","",IFERROR(VLOOKUP(N54,'Critères et poids'!$B$17:$C$20,2,FALSE),0))</f>
        <v/>
      </c>
      <c r="S54" s="9">
        <f>IF($B54="","",MAX(0,P54+Q54+R54))</f>
        <v/>
      </c>
      <c r="T54" s="9">
        <f>IF($B54="","",IF(O54&lt;&gt;"","X",IF(S54&gt;='Critères et poids'!$C$29,"A",IF(S54&gt;='Critères et poids'!$C$30,"B","C"))))</f>
        <v/>
      </c>
      <c r="U54" s="14">
        <f>IF(T54="","",INDEX('Critères et poids'!$D$29:$D$32,MATCH(T54,'Critères et poids'!$A$29:$A$32,0)))</f>
        <v/>
      </c>
      <c r="V54" s="14">
        <f>IF(T54="","",INDEX('Critères et poids'!$F$29:$F$32,MATCH(T54,'Critères et poids'!$A$29:$A$32,0)))</f>
        <v/>
      </c>
      <c r="W54" s="15">
        <f>IF(OR(AH54="",AJ54=""),"",IF(AI54+AJ54*60&lt;=ROUND('Critères et poids'!$C$37*1440,0),INT(AH54)+(AI54+AJ54*60)/1440,WORKDAY(INT(AH54),1+INT((AI54+AJ54*60-ROUND('Critères et poids'!$C$37*1440,0)-1)/(ROUND('Critères et poids'!$C$37*1440,0)-ROUND('Critères et poids'!$C$36*1440,0))))+(ROUND('Critères et poids'!$C$36*1440,0)+AI54+AJ54*60-ROUND('Critères et poids'!$C$37*1440,0)-INT((AI54+AJ54*60-ROUND('Critères et poids'!$C$37*1440,0)-1)/(ROUND('Critères et poids'!$C$37*1440,0)-ROUND('Critères et poids'!$C$36*1440,0)))*(ROUND('Critères et poids'!$C$37*1440,0)-ROUND('Critères et poids'!$C$36*1440,0)))/1440))</f>
        <v/>
      </c>
      <c r="X54" s="16" t="n"/>
      <c r="Y54" s="14">
        <f>IF(W54="","",IF(X54="",IF(NOW()&gt;W54,"En retard","En attente"),IF(X54&lt;=W54,"À temps","En retard")))</f>
        <v/>
      </c>
      <c r="Z54" s="17" t="n"/>
      <c r="AA54" s="14">
        <f>IF($B54="","",IF(OR(T54="X",AD54&lt;&gt;""),0,MAX(0,MIN(Q54,'Critères et poids'!$C$38*INT((TODAY()-IF(Z54&lt;&gt;"",Z54,INT($A54)))/7)))))</f>
        <v/>
      </c>
      <c r="AB54" s="14">
        <f>IF($B54="","",MAX(0,S54-AA54))</f>
        <v/>
      </c>
      <c r="AC54" s="9">
        <f>IF($B54="","",IF(T54="X","X",IF(AB54&gt;='Critères et poids'!$C$29,"A",IF(AB54&gt;='Critères et poids'!$C$30,"B","C"))))</f>
        <v/>
      </c>
      <c r="AD54" s="4" t="n"/>
      <c r="AE54" s="18" t="n"/>
      <c r="AF54" s="6" t="n"/>
      <c r="AH54">
        <f>IF($A54="","",IF(OR(WEEKDAY($A54,2)&gt;5,ROUND(MOD($A54,1)*1440,0)&gt;=ROUND('Critères et poids'!$C$37*1440,0)),WORKDAY(INT($A54),1)+ROUND('Critères et poids'!$C$36*1440,0)/1440,IF(ROUND(MOD($A54,1)*1440,0)&lt;ROUND('Critères et poids'!$C$36*1440,0),INT($A54)+ROUND('Critères et poids'!$C$36*1440,0)/1440,$A54)))</f>
        <v/>
      </c>
      <c r="AI54">
        <f>IF(AH54="","",ROUND(MOD(AH54,1)*1440,0))</f>
        <v/>
      </c>
      <c r="AJ54">
        <f>IF(T54="","",INDEX('Critères et poids'!$E$29:$E$32,MATCH(T54,'Critères et poids'!$A$29:$A$32,0)))</f>
        <v/>
      </c>
    </row>
    <row r="55">
      <c r="A55" s="13" t="n"/>
      <c r="B55" s="6" t="n"/>
      <c r="C55" s="6" t="n"/>
      <c r="D55" s="4" t="n"/>
      <c r="E55" s="4" t="n"/>
      <c r="F55" s="4" t="n"/>
      <c r="G55" s="4" t="n"/>
      <c r="H55" s="4" t="n"/>
      <c r="I55" s="4" t="n"/>
      <c r="J55" s="4" t="n"/>
      <c r="K55" s="4" t="n"/>
      <c r="L55" s="4" t="n"/>
      <c r="M55" s="4" t="n"/>
      <c r="N55" s="6" t="n"/>
      <c r="O55" s="6" t="n"/>
      <c r="P55" s="14">
        <f>IF($B55="","",(E55="Clair")*'Critères et poids'!$G$5+(E55="Partiel")*'Critères et poids'!$G$5/2+(F55="Clair")*'Critères et poids'!$G$6+(F55="Partiel")*'Critères et poids'!$G$6/2+(G55="Clair")*'Critères et poids'!$G$7+(G55="Partiel")*'Critères et poids'!$G$7/2+(H55="Clair")*'Critères et poids'!$G$8+(H55="Partiel")*'Critères et poids'!$G$8/2)</f>
        <v/>
      </c>
      <c r="Q55" s="14">
        <f>IF($B55="","",(I55="Clair")*'Critères et poids'!$G$9+(I55="Partiel")*'Critères et poids'!$G$9/2+(J55="Clair")*'Critères et poids'!$G$10+(J55="Partiel")*'Critères et poids'!$G$10/2+(K55="Clair")*'Critères et poids'!$G$11+(K55="Partiel")*'Critères et poids'!$G$11/2+(L55="Clair")*'Critères et poids'!$G$12+(L55="Partiel")*'Critères et poids'!$G$12/2+(M55="Clair")*'Critères et poids'!$G$13+(M55="Partiel")*'Critères et poids'!$G$13/2)</f>
        <v/>
      </c>
      <c r="R55" s="14">
        <f>IF($B55="","",IFERROR(VLOOKUP(N55,'Critères et poids'!$B$17:$C$20,2,FALSE),0))</f>
        <v/>
      </c>
      <c r="S55" s="9">
        <f>IF($B55="","",MAX(0,P55+Q55+R55))</f>
        <v/>
      </c>
      <c r="T55" s="9">
        <f>IF($B55="","",IF(O55&lt;&gt;"","X",IF(S55&gt;='Critères et poids'!$C$29,"A",IF(S55&gt;='Critères et poids'!$C$30,"B","C"))))</f>
        <v/>
      </c>
      <c r="U55" s="14">
        <f>IF(T55="","",INDEX('Critères et poids'!$D$29:$D$32,MATCH(T55,'Critères et poids'!$A$29:$A$32,0)))</f>
        <v/>
      </c>
      <c r="V55" s="14">
        <f>IF(T55="","",INDEX('Critères et poids'!$F$29:$F$32,MATCH(T55,'Critères et poids'!$A$29:$A$32,0)))</f>
        <v/>
      </c>
      <c r="W55" s="15">
        <f>IF(OR(AH55="",AJ55=""),"",IF(AI55+AJ55*60&lt;=ROUND('Critères et poids'!$C$37*1440,0),INT(AH55)+(AI55+AJ55*60)/1440,WORKDAY(INT(AH55),1+INT((AI55+AJ55*60-ROUND('Critères et poids'!$C$37*1440,0)-1)/(ROUND('Critères et poids'!$C$37*1440,0)-ROUND('Critères et poids'!$C$36*1440,0))))+(ROUND('Critères et poids'!$C$36*1440,0)+AI55+AJ55*60-ROUND('Critères et poids'!$C$37*1440,0)-INT((AI55+AJ55*60-ROUND('Critères et poids'!$C$37*1440,0)-1)/(ROUND('Critères et poids'!$C$37*1440,0)-ROUND('Critères et poids'!$C$36*1440,0)))*(ROUND('Critères et poids'!$C$37*1440,0)-ROUND('Critères et poids'!$C$36*1440,0)))/1440))</f>
        <v/>
      </c>
      <c r="X55" s="16" t="n"/>
      <c r="Y55" s="14">
        <f>IF(W55="","",IF(X55="",IF(NOW()&gt;W55,"En retard","En attente"),IF(X55&lt;=W55,"À temps","En retard")))</f>
        <v/>
      </c>
      <c r="Z55" s="17" t="n"/>
      <c r="AA55" s="14">
        <f>IF($B55="","",IF(OR(T55="X",AD55&lt;&gt;""),0,MAX(0,MIN(Q55,'Critères et poids'!$C$38*INT((TODAY()-IF(Z55&lt;&gt;"",Z55,INT($A55)))/7)))))</f>
        <v/>
      </c>
      <c r="AB55" s="14">
        <f>IF($B55="","",MAX(0,S55-AA55))</f>
        <v/>
      </c>
      <c r="AC55" s="9">
        <f>IF($B55="","",IF(T55="X","X",IF(AB55&gt;='Critères et poids'!$C$29,"A",IF(AB55&gt;='Critères et poids'!$C$30,"B","C"))))</f>
        <v/>
      </c>
      <c r="AD55" s="4" t="n"/>
      <c r="AE55" s="18" t="n"/>
      <c r="AF55" s="6" t="n"/>
      <c r="AH55">
        <f>IF($A55="","",IF(OR(WEEKDAY($A55,2)&gt;5,ROUND(MOD($A55,1)*1440,0)&gt;=ROUND('Critères et poids'!$C$37*1440,0)),WORKDAY(INT($A55),1)+ROUND('Critères et poids'!$C$36*1440,0)/1440,IF(ROUND(MOD($A55,1)*1440,0)&lt;ROUND('Critères et poids'!$C$36*1440,0),INT($A55)+ROUND('Critères et poids'!$C$36*1440,0)/1440,$A55)))</f>
        <v/>
      </c>
      <c r="AI55">
        <f>IF(AH55="","",ROUND(MOD(AH55,1)*1440,0))</f>
        <v/>
      </c>
      <c r="AJ55">
        <f>IF(T55="","",INDEX('Critères et poids'!$E$29:$E$32,MATCH(T55,'Critères et poids'!$A$29:$A$32,0)))</f>
        <v/>
      </c>
    </row>
    <row r="56">
      <c r="A56" s="13" t="n"/>
      <c r="B56" s="6" t="n"/>
      <c r="C56" s="6" t="n"/>
      <c r="D56" s="4" t="n"/>
      <c r="E56" s="4" t="n"/>
      <c r="F56" s="4" t="n"/>
      <c r="G56" s="4" t="n"/>
      <c r="H56" s="4" t="n"/>
      <c r="I56" s="4" t="n"/>
      <c r="J56" s="4" t="n"/>
      <c r="K56" s="4" t="n"/>
      <c r="L56" s="4" t="n"/>
      <c r="M56" s="4" t="n"/>
      <c r="N56" s="6" t="n"/>
      <c r="O56" s="6" t="n"/>
      <c r="P56" s="14">
        <f>IF($B56="","",(E56="Clair")*'Critères et poids'!$G$5+(E56="Partiel")*'Critères et poids'!$G$5/2+(F56="Clair")*'Critères et poids'!$G$6+(F56="Partiel")*'Critères et poids'!$G$6/2+(G56="Clair")*'Critères et poids'!$G$7+(G56="Partiel")*'Critères et poids'!$G$7/2+(H56="Clair")*'Critères et poids'!$G$8+(H56="Partiel")*'Critères et poids'!$G$8/2)</f>
        <v/>
      </c>
      <c r="Q56" s="14">
        <f>IF($B56="","",(I56="Clair")*'Critères et poids'!$G$9+(I56="Partiel")*'Critères et poids'!$G$9/2+(J56="Clair")*'Critères et poids'!$G$10+(J56="Partiel")*'Critères et poids'!$G$10/2+(K56="Clair")*'Critères et poids'!$G$11+(K56="Partiel")*'Critères et poids'!$G$11/2+(L56="Clair")*'Critères et poids'!$G$12+(L56="Partiel")*'Critères et poids'!$G$12/2+(M56="Clair")*'Critères et poids'!$G$13+(M56="Partiel")*'Critères et poids'!$G$13/2)</f>
        <v/>
      </c>
      <c r="R56" s="14">
        <f>IF($B56="","",IFERROR(VLOOKUP(N56,'Critères et poids'!$B$17:$C$20,2,FALSE),0))</f>
        <v/>
      </c>
      <c r="S56" s="9">
        <f>IF($B56="","",MAX(0,P56+Q56+R56))</f>
        <v/>
      </c>
      <c r="T56" s="9">
        <f>IF($B56="","",IF(O56&lt;&gt;"","X",IF(S56&gt;='Critères et poids'!$C$29,"A",IF(S56&gt;='Critères et poids'!$C$30,"B","C"))))</f>
        <v/>
      </c>
      <c r="U56" s="14">
        <f>IF(T56="","",INDEX('Critères et poids'!$D$29:$D$32,MATCH(T56,'Critères et poids'!$A$29:$A$32,0)))</f>
        <v/>
      </c>
      <c r="V56" s="14">
        <f>IF(T56="","",INDEX('Critères et poids'!$F$29:$F$32,MATCH(T56,'Critères et poids'!$A$29:$A$32,0)))</f>
        <v/>
      </c>
      <c r="W56" s="15">
        <f>IF(OR(AH56="",AJ56=""),"",IF(AI56+AJ56*60&lt;=ROUND('Critères et poids'!$C$37*1440,0),INT(AH56)+(AI56+AJ56*60)/1440,WORKDAY(INT(AH56),1+INT((AI56+AJ56*60-ROUND('Critères et poids'!$C$37*1440,0)-1)/(ROUND('Critères et poids'!$C$37*1440,0)-ROUND('Critères et poids'!$C$36*1440,0))))+(ROUND('Critères et poids'!$C$36*1440,0)+AI56+AJ56*60-ROUND('Critères et poids'!$C$37*1440,0)-INT((AI56+AJ56*60-ROUND('Critères et poids'!$C$37*1440,0)-1)/(ROUND('Critères et poids'!$C$37*1440,0)-ROUND('Critères et poids'!$C$36*1440,0)))*(ROUND('Critères et poids'!$C$37*1440,0)-ROUND('Critères et poids'!$C$36*1440,0)))/1440))</f>
        <v/>
      </c>
      <c r="X56" s="16" t="n"/>
      <c r="Y56" s="14">
        <f>IF(W56="","",IF(X56="",IF(NOW()&gt;W56,"En retard","En attente"),IF(X56&lt;=W56,"À temps","En retard")))</f>
        <v/>
      </c>
      <c r="Z56" s="17" t="n"/>
      <c r="AA56" s="14">
        <f>IF($B56="","",IF(OR(T56="X",AD56&lt;&gt;""),0,MAX(0,MIN(Q56,'Critères et poids'!$C$38*INT((TODAY()-IF(Z56&lt;&gt;"",Z56,INT($A56)))/7)))))</f>
        <v/>
      </c>
      <c r="AB56" s="14">
        <f>IF($B56="","",MAX(0,S56-AA56))</f>
        <v/>
      </c>
      <c r="AC56" s="9">
        <f>IF($B56="","",IF(T56="X","X",IF(AB56&gt;='Critères et poids'!$C$29,"A",IF(AB56&gt;='Critères et poids'!$C$30,"B","C"))))</f>
        <v/>
      </c>
      <c r="AD56" s="4" t="n"/>
      <c r="AE56" s="18" t="n"/>
      <c r="AF56" s="6" t="n"/>
      <c r="AH56">
        <f>IF($A56="","",IF(OR(WEEKDAY($A56,2)&gt;5,ROUND(MOD($A56,1)*1440,0)&gt;=ROUND('Critères et poids'!$C$37*1440,0)),WORKDAY(INT($A56),1)+ROUND('Critères et poids'!$C$36*1440,0)/1440,IF(ROUND(MOD($A56,1)*1440,0)&lt;ROUND('Critères et poids'!$C$36*1440,0),INT($A56)+ROUND('Critères et poids'!$C$36*1440,0)/1440,$A56)))</f>
        <v/>
      </c>
      <c r="AI56">
        <f>IF(AH56="","",ROUND(MOD(AH56,1)*1440,0))</f>
        <v/>
      </c>
      <c r="AJ56">
        <f>IF(T56="","",INDEX('Critères et poids'!$E$29:$E$32,MATCH(T56,'Critères et poids'!$A$29:$A$32,0)))</f>
        <v/>
      </c>
    </row>
    <row r="57">
      <c r="A57" s="13" t="n"/>
      <c r="B57" s="6" t="n"/>
      <c r="C57" s="6" t="n"/>
      <c r="D57" s="4" t="n"/>
      <c r="E57" s="4" t="n"/>
      <c r="F57" s="4" t="n"/>
      <c r="G57" s="4" t="n"/>
      <c r="H57" s="4" t="n"/>
      <c r="I57" s="4" t="n"/>
      <c r="J57" s="4" t="n"/>
      <c r="K57" s="4" t="n"/>
      <c r="L57" s="4" t="n"/>
      <c r="M57" s="4" t="n"/>
      <c r="N57" s="6" t="n"/>
      <c r="O57" s="6" t="n"/>
      <c r="P57" s="14">
        <f>IF($B57="","",(E57="Clair")*'Critères et poids'!$G$5+(E57="Partiel")*'Critères et poids'!$G$5/2+(F57="Clair")*'Critères et poids'!$G$6+(F57="Partiel")*'Critères et poids'!$G$6/2+(G57="Clair")*'Critères et poids'!$G$7+(G57="Partiel")*'Critères et poids'!$G$7/2+(H57="Clair")*'Critères et poids'!$G$8+(H57="Partiel")*'Critères et poids'!$G$8/2)</f>
        <v/>
      </c>
      <c r="Q57" s="14">
        <f>IF($B57="","",(I57="Clair")*'Critères et poids'!$G$9+(I57="Partiel")*'Critères et poids'!$G$9/2+(J57="Clair")*'Critères et poids'!$G$10+(J57="Partiel")*'Critères et poids'!$G$10/2+(K57="Clair")*'Critères et poids'!$G$11+(K57="Partiel")*'Critères et poids'!$G$11/2+(L57="Clair")*'Critères et poids'!$G$12+(L57="Partiel")*'Critères et poids'!$G$12/2+(M57="Clair")*'Critères et poids'!$G$13+(M57="Partiel")*'Critères et poids'!$G$13/2)</f>
        <v/>
      </c>
      <c r="R57" s="14">
        <f>IF($B57="","",IFERROR(VLOOKUP(N57,'Critères et poids'!$B$17:$C$20,2,FALSE),0))</f>
        <v/>
      </c>
      <c r="S57" s="9">
        <f>IF($B57="","",MAX(0,P57+Q57+R57))</f>
        <v/>
      </c>
      <c r="T57" s="9">
        <f>IF($B57="","",IF(O57&lt;&gt;"","X",IF(S57&gt;='Critères et poids'!$C$29,"A",IF(S57&gt;='Critères et poids'!$C$30,"B","C"))))</f>
        <v/>
      </c>
      <c r="U57" s="14">
        <f>IF(T57="","",INDEX('Critères et poids'!$D$29:$D$32,MATCH(T57,'Critères et poids'!$A$29:$A$32,0)))</f>
        <v/>
      </c>
      <c r="V57" s="14">
        <f>IF(T57="","",INDEX('Critères et poids'!$F$29:$F$32,MATCH(T57,'Critères et poids'!$A$29:$A$32,0)))</f>
        <v/>
      </c>
      <c r="W57" s="15">
        <f>IF(OR(AH57="",AJ57=""),"",IF(AI57+AJ57*60&lt;=ROUND('Critères et poids'!$C$37*1440,0),INT(AH57)+(AI57+AJ57*60)/1440,WORKDAY(INT(AH57),1+INT((AI57+AJ57*60-ROUND('Critères et poids'!$C$37*1440,0)-1)/(ROUND('Critères et poids'!$C$37*1440,0)-ROUND('Critères et poids'!$C$36*1440,0))))+(ROUND('Critères et poids'!$C$36*1440,0)+AI57+AJ57*60-ROUND('Critères et poids'!$C$37*1440,0)-INT((AI57+AJ57*60-ROUND('Critères et poids'!$C$37*1440,0)-1)/(ROUND('Critères et poids'!$C$37*1440,0)-ROUND('Critères et poids'!$C$36*1440,0)))*(ROUND('Critères et poids'!$C$37*1440,0)-ROUND('Critères et poids'!$C$36*1440,0)))/1440))</f>
        <v/>
      </c>
      <c r="X57" s="16" t="n"/>
      <c r="Y57" s="14">
        <f>IF(W57="","",IF(X57="",IF(NOW()&gt;W57,"En retard","En attente"),IF(X57&lt;=W57,"À temps","En retard")))</f>
        <v/>
      </c>
      <c r="Z57" s="17" t="n"/>
      <c r="AA57" s="14">
        <f>IF($B57="","",IF(OR(T57="X",AD57&lt;&gt;""),0,MAX(0,MIN(Q57,'Critères et poids'!$C$38*INT((TODAY()-IF(Z57&lt;&gt;"",Z57,INT($A57)))/7)))))</f>
        <v/>
      </c>
      <c r="AB57" s="14">
        <f>IF($B57="","",MAX(0,S57-AA57))</f>
        <v/>
      </c>
      <c r="AC57" s="9">
        <f>IF($B57="","",IF(T57="X","X",IF(AB57&gt;='Critères et poids'!$C$29,"A",IF(AB57&gt;='Critères et poids'!$C$30,"B","C"))))</f>
        <v/>
      </c>
      <c r="AD57" s="4" t="n"/>
      <c r="AE57" s="18" t="n"/>
      <c r="AF57" s="6" t="n"/>
      <c r="AH57">
        <f>IF($A57="","",IF(OR(WEEKDAY($A57,2)&gt;5,ROUND(MOD($A57,1)*1440,0)&gt;=ROUND('Critères et poids'!$C$37*1440,0)),WORKDAY(INT($A57),1)+ROUND('Critères et poids'!$C$36*1440,0)/1440,IF(ROUND(MOD($A57,1)*1440,0)&lt;ROUND('Critères et poids'!$C$36*1440,0),INT($A57)+ROUND('Critères et poids'!$C$36*1440,0)/1440,$A57)))</f>
        <v/>
      </c>
      <c r="AI57">
        <f>IF(AH57="","",ROUND(MOD(AH57,1)*1440,0))</f>
        <v/>
      </c>
      <c r="AJ57">
        <f>IF(T57="","",INDEX('Critères et poids'!$E$29:$E$32,MATCH(T57,'Critères et poids'!$A$29:$A$32,0)))</f>
        <v/>
      </c>
    </row>
    <row r="58">
      <c r="A58" s="13" t="n"/>
      <c r="B58" s="6" t="n"/>
      <c r="C58" s="6" t="n"/>
      <c r="D58" s="4" t="n"/>
      <c r="E58" s="4" t="n"/>
      <c r="F58" s="4" t="n"/>
      <c r="G58" s="4" t="n"/>
      <c r="H58" s="4" t="n"/>
      <c r="I58" s="4" t="n"/>
      <c r="J58" s="4" t="n"/>
      <c r="K58" s="4" t="n"/>
      <c r="L58" s="4" t="n"/>
      <c r="M58" s="4" t="n"/>
      <c r="N58" s="6" t="n"/>
      <c r="O58" s="6" t="n"/>
      <c r="P58" s="14">
        <f>IF($B58="","",(E58="Clair")*'Critères et poids'!$G$5+(E58="Partiel")*'Critères et poids'!$G$5/2+(F58="Clair")*'Critères et poids'!$G$6+(F58="Partiel")*'Critères et poids'!$G$6/2+(G58="Clair")*'Critères et poids'!$G$7+(G58="Partiel")*'Critères et poids'!$G$7/2+(H58="Clair")*'Critères et poids'!$G$8+(H58="Partiel")*'Critères et poids'!$G$8/2)</f>
        <v/>
      </c>
      <c r="Q58" s="14">
        <f>IF($B58="","",(I58="Clair")*'Critères et poids'!$G$9+(I58="Partiel")*'Critères et poids'!$G$9/2+(J58="Clair")*'Critères et poids'!$G$10+(J58="Partiel")*'Critères et poids'!$G$10/2+(K58="Clair")*'Critères et poids'!$G$11+(K58="Partiel")*'Critères et poids'!$G$11/2+(L58="Clair")*'Critères et poids'!$G$12+(L58="Partiel")*'Critères et poids'!$G$12/2+(M58="Clair")*'Critères et poids'!$G$13+(M58="Partiel")*'Critères et poids'!$G$13/2)</f>
        <v/>
      </c>
      <c r="R58" s="14">
        <f>IF($B58="","",IFERROR(VLOOKUP(N58,'Critères et poids'!$B$17:$C$20,2,FALSE),0))</f>
        <v/>
      </c>
      <c r="S58" s="9">
        <f>IF($B58="","",MAX(0,P58+Q58+R58))</f>
        <v/>
      </c>
      <c r="T58" s="9">
        <f>IF($B58="","",IF(O58&lt;&gt;"","X",IF(S58&gt;='Critères et poids'!$C$29,"A",IF(S58&gt;='Critères et poids'!$C$30,"B","C"))))</f>
        <v/>
      </c>
      <c r="U58" s="14">
        <f>IF(T58="","",INDEX('Critères et poids'!$D$29:$D$32,MATCH(T58,'Critères et poids'!$A$29:$A$32,0)))</f>
        <v/>
      </c>
      <c r="V58" s="14">
        <f>IF(T58="","",INDEX('Critères et poids'!$F$29:$F$32,MATCH(T58,'Critères et poids'!$A$29:$A$32,0)))</f>
        <v/>
      </c>
      <c r="W58" s="15">
        <f>IF(OR(AH58="",AJ58=""),"",IF(AI58+AJ58*60&lt;=ROUND('Critères et poids'!$C$37*1440,0),INT(AH58)+(AI58+AJ58*60)/1440,WORKDAY(INT(AH58),1+INT((AI58+AJ58*60-ROUND('Critères et poids'!$C$37*1440,0)-1)/(ROUND('Critères et poids'!$C$37*1440,0)-ROUND('Critères et poids'!$C$36*1440,0))))+(ROUND('Critères et poids'!$C$36*1440,0)+AI58+AJ58*60-ROUND('Critères et poids'!$C$37*1440,0)-INT((AI58+AJ58*60-ROUND('Critères et poids'!$C$37*1440,0)-1)/(ROUND('Critères et poids'!$C$37*1440,0)-ROUND('Critères et poids'!$C$36*1440,0)))*(ROUND('Critères et poids'!$C$37*1440,0)-ROUND('Critères et poids'!$C$36*1440,0)))/1440))</f>
        <v/>
      </c>
      <c r="X58" s="16" t="n"/>
      <c r="Y58" s="14">
        <f>IF(W58="","",IF(X58="",IF(NOW()&gt;W58,"En retard","En attente"),IF(X58&lt;=W58,"À temps","En retard")))</f>
        <v/>
      </c>
      <c r="Z58" s="17" t="n"/>
      <c r="AA58" s="14">
        <f>IF($B58="","",IF(OR(T58="X",AD58&lt;&gt;""),0,MAX(0,MIN(Q58,'Critères et poids'!$C$38*INT((TODAY()-IF(Z58&lt;&gt;"",Z58,INT($A58)))/7)))))</f>
        <v/>
      </c>
      <c r="AB58" s="14">
        <f>IF($B58="","",MAX(0,S58-AA58))</f>
        <v/>
      </c>
      <c r="AC58" s="9">
        <f>IF($B58="","",IF(T58="X","X",IF(AB58&gt;='Critères et poids'!$C$29,"A",IF(AB58&gt;='Critères et poids'!$C$30,"B","C"))))</f>
        <v/>
      </c>
      <c r="AD58" s="4" t="n"/>
      <c r="AE58" s="18" t="n"/>
      <c r="AF58" s="6" t="n"/>
      <c r="AH58">
        <f>IF($A58="","",IF(OR(WEEKDAY($A58,2)&gt;5,ROUND(MOD($A58,1)*1440,0)&gt;=ROUND('Critères et poids'!$C$37*1440,0)),WORKDAY(INT($A58),1)+ROUND('Critères et poids'!$C$36*1440,0)/1440,IF(ROUND(MOD($A58,1)*1440,0)&lt;ROUND('Critères et poids'!$C$36*1440,0),INT($A58)+ROUND('Critères et poids'!$C$36*1440,0)/1440,$A58)))</f>
        <v/>
      </c>
      <c r="AI58">
        <f>IF(AH58="","",ROUND(MOD(AH58,1)*1440,0))</f>
        <v/>
      </c>
      <c r="AJ58">
        <f>IF(T58="","",INDEX('Critères et poids'!$E$29:$E$32,MATCH(T58,'Critères et poids'!$A$29:$A$32,0)))</f>
        <v/>
      </c>
    </row>
    <row r="59">
      <c r="A59" s="13" t="n"/>
      <c r="B59" s="6" t="n"/>
      <c r="C59" s="6" t="n"/>
      <c r="D59" s="4" t="n"/>
      <c r="E59" s="4" t="n"/>
      <c r="F59" s="4" t="n"/>
      <c r="G59" s="4" t="n"/>
      <c r="H59" s="4" t="n"/>
      <c r="I59" s="4" t="n"/>
      <c r="J59" s="4" t="n"/>
      <c r="K59" s="4" t="n"/>
      <c r="L59" s="4" t="n"/>
      <c r="M59" s="4" t="n"/>
      <c r="N59" s="6" t="n"/>
      <c r="O59" s="6" t="n"/>
      <c r="P59" s="14">
        <f>IF($B59="","",(E59="Clair")*'Critères et poids'!$G$5+(E59="Partiel")*'Critères et poids'!$G$5/2+(F59="Clair")*'Critères et poids'!$G$6+(F59="Partiel")*'Critères et poids'!$G$6/2+(G59="Clair")*'Critères et poids'!$G$7+(G59="Partiel")*'Critères et poids'!$G$7/2+(H59="Clair")*'Critères et poids'!$G$8+(H59="Partiel")*'Critères et poids'!$G$8/2)</f>
        <v/>
      </c>
      <c r="Q59" s="14">
        <f>IF($B59="","",(I59="Clair")*'Critères et poids'!$G$9+(I59="Partiel")*'Critères et poids'!$G$9/2+(J59="Clair")*'Critères et poids'!$G$10+(J59="Partiel")*'Critères et poids'!$G$10/2+(K59="Clair")*'Critères et poids'!$G$11+(K59="Partiel")*'Critères et poids'!$G$11/2+(L59="Clair")*'Critères et poids'!$G$12+(L59="Partiel")*'Critères et poids'!$G$12/2+(M59="Clair")*'Critères et poids'!$G$13+(M59="Partiel")*'Critères et poids'!$G$13/2)</f>
        <v/>
      </c>
      <c r="R59" s="14">
        <f>IF($B59="","",IFERROR(VLOOKUP(N59,'Critères et poids'!$B$17:$C$20,2,FALSE),0))</f>
        <v/>
      </c>
      <c r="S59" s="9">
        <f>IF($B59="","",MAX(0,P59+Q59+R59))</f>
        <v/>
      </c>
      <c r="T59" s="9">
        <f>IF($B59="","",IF(O59&lt;&gt;"","X",IF(S59&gt;='Critères et poids'!$C$29,"A",IF(S59&gt;='Critères et poids'!$C$30,"B","C"))))</f>
        <v/>
      </c>
      <c r="U59" s="14">
        <f>IF(T59="","",INDEX('Critères et poids'!$D$29:$D$32,MATCH(T59,'Critères et poids'!$A$29:$A$32,0)))</f>
        <v/>
      </c>
      <c r="V59" s="14">
        <f>IF(T59="","",INDEX('Critères et poids'!$F$29:$F$32,MATCH(T59,'Critères et poids'!$A$29:$A$32,0)))</f>
        <v/>
      </c>
      <c r="W59" s="15">
        <f>IF(OR(AH59="",AJ59=""),"",IF(AI59+AJ59*60&lt;=ROUND('Critères et poids'!$C$37*1440,0),INT(AH59)+(AI59+AJ59*60)/1440,WORKDAY(INT(AH59),1+INT((AI59+AJ59*60-ROUND('Critères et poids'!$C$37*1440,0)-1)/(ROUND('Critères et poids'!$C$37*1440,0)-ROUND('Critères et poids'!$C$36*1440,0))))+(ROUND('Critères et poids'!$C$36*1440,0)+AI59+AJ59*60-ROUND('Critères et poids'!$C$37*1440,0)-INT((AI59+AJ59*60-ROUND('Critères et poids'!$C$37*1440,0)-1)/(ROUND('Critères et poids'!$C$37*1440,0)-ROUND('Critères et poids'!$C$36*1440,0)))*(ROUND('Critères et poids'!$C$37*1440,0)-ROUND('Critères et poids'!$C$36*1440,0)))/1440))</f>
        <v/>
      </c>
      <c r="X59" s="16" t="n"/>
      <c r="Y59" s="14">
        <f>IF(W59="","",IF(X59="",IF(NOW()&gt;W59,"En retard","En attente"),IF(X59&lt;=W59,"À temps","En retard")))</f>
        <v/>
      </c>
      <c r="Z59" s="17" t="n"/>
      <c r="AA59" s="14">
        <f>IF($B59="","",IF(OR(T59="X",AD59&lt;&gt;""),0,MAX(0,MIN(Q59,'Critères et poids'!$C$38*INT((TODAY()-IF(Z59&lt;&gt;"",Z59,INT($A59)))/7)))))</f>
        <v/>
      </c>
      <c r="AB59" s="14">
        <f>IF($B59="","",MAX(0,S59-AA59))</f>
        <v/>
      </c>
      <c r="AC59" s="9">
        <f>IF($B59="","",IF(T59="X","X",IF(AB59&gt;='Critères et poids'!$C$29,"A",IF(AB59&gt;='Critères et poids'!$C$30,"B","C"))))</f>
        <v/>
      </c>
      <c r="AD59" s="4" t="n"/>
      <c r="AE59" s="18" t="n"/>
      <c r="AF59" s="6" t="n"/>
      <c r="AH59">
        <f>IF($A59="","",IF(OR(WEEKDAY($A59,2)&gt;5,ROUND(MOD($A59,1)*1440,0)&gt;=ROUND('Critères et poids'!$C$37*1440,0)),WORKDAY(INT($A59),1)+ROUND('Critères et poids'!$C$36*1440,0)/1440,IF(ROUND(MOD($A59,1)*1440,0)&lt;ROUND('Critères et poids'!$C$36*1440,0),INT($A59)+ROUND('Critères et poids'!$C$36*1440,0)/1440,$A59)))</f>
        <v/>
      </c>
      <c r="AI59">
        <f>IF(AH59="","",ROUND(MOD(AH59,1)*1440,0))</f>
        <v/>
      </c>
      <c r="AJ59">
        <f>IF(T59="","",INDEX('Critères et poids'!$E$29:$E$32,MATCH(T59,'Critères et poids'!$A$29:$A$32,0)))</f>
        <v/>
      </c>
    </row>
    <row r="60">
      <c r="A60" s="13" t="n"/>
      <c r="B60" s="6" t="n"/>
      <c r="C60" s="6" t="n"/>
      <c r="D60" s="4" t="n"/>
      <c r="E60" s="4" t="n"/>
      <c r="F60" s="4" t="n"/>
      <c r="G60" s="4" t="n"/>
      <c r="H60" s="4" t="n"/>
      <c r="I60" s="4" t="n"/>
      <c r="J60" s="4" t="n"/>
      <c r="K60" s="4" t="n"/>
      <c r="L60" s="4" t="n"/>
      <c r="M60" s="4" t="n"/>
      <c r="N60" s="6" t="n"/>
      <c r="O60" s="6" t="n"/>
      <c r="P60" s="14">
        <f>IF($B60="","",(E60="Clair")*'Critères et poids'!$G$5+(E60="Partiel")*'Critères et poids'!$G$5/2+(F60="Clair")*'Critères et poids'!$G$6+(F60="Partiel")*'Critères et poids'!$G$6/2+(G60="Clair")*'Critères et poids'!$G$7+(G60="Partiel")*'Critères et poids'!$G$7/2+(H60="Clair")*'Critères et poids'!$G$8+(H60="Partiel")*'Critères et poids'!$G$8/2)</f>
        <v/>
      </c>
      <c r="Q60" s="14">
        <f>IF($B60="","",(I60="Clair")*'Critères et poids'!$G$9+(I60="Partiel")*'Critères et poids'!$G$9/2+(J60="Clair")*'Critères et poids'!$G$10+(J60="Partiel")*'Critères et poids'!$G$10/2+(K60="Clair")*'Critères et poids'!$G$11+(K60="Partiel")*'Critères et poids'!$G$11/2+(L60="Clair")*'Critères et poids'!$G$12+(L60="Partiel")*'Critères et poids'!$G$12/2+(M60="Clair")*'Critères et poids'!$G$13+(M60="Partiel")*'Critères et poids'!$G$13/2)</f>
        <v/>
      </c>
      <c r="R60" s="14">
        <f>IF($B60="","",IFERROR(VLOOKUP(N60,'Critères et poids'!$B$17:$C$20,2,FALSE),0))</f>
        <v/>
      </c>
      <c r="S60" s="9">
        <f>IF($B60="","",MAX(0,P60+Q60+R60))</f>
        <v/>
      </c>
      <c r="T60" s="9">
        <f>IF($B60="","",IF(O60&lt;&gt;"","X",IF(S60&gt;='Critères et poids'!$C$29,"A",IF(S60&gt;='Critères et poids'!$C$30,"B","C"))))</f>
        <v/>
      </c>
      <c r="U60" s="14">
        <f>IF(T60="","",INDEX('Critères et poids'!$D$29:$D$32,MATCH(T60,'Critères et poids'!$A$29:$A$32,0)))</f>
        <v/>
      </c>
      <c r="V60" s="14">
        <f>IF(T60="","",INDEX('Critères et poids'!$F$29:$F$32,MATCH(T60,'Critères et poids'!$A$29:$A$32,0)))</f>
        <v/>
      </c>
      <c r="W60" s="15">
        <f>IF(OR(AH60="",AJ60=""),"",IF(AI60+AJ60*60&lt;=ROUND('Critères et poids'!$C$37*1440,0),INT(AH60)+(AI60+AJ60*60)/1440,WORKDAY(INT(AH60),1+INT((AI60+AJ60*60-ROUND('Critères et poids'!$C$37*1440,0)-1)/(ROUND('Critères et poids'!$C$37*1440,0)-ROUND('Critères et poids'!$C$36*1440,0))))+(ROUND('Critères et poids'!$C$36*1440,0)+AI60+AJ60*60-ROUND('Critères et poids'!$C$37*1440,0)-INT((AI60+AJ60*60-ROUND('Critères et poids'!$C$37*1440,0)-1)/(ROUND('Critères et poids'!$C$37*1440,0)-ROUND('Critères et poids'!$C$36*1440,0)))*(ROUND('Critères et poids'!$C$37*1440,0)-ROUND('Critères et poids'!$C$36*1440,0)))/1440))</f>
        <v/>
      </c>
      <c r="X60" s="16" t="n"/>
      <c r="Y60" s="14">
        <f>IF(W60="","",IF(X60="",IF(NOW()&gt;W60,"En retard","En attente"),IF(X60&lt;=W60,"À temps","En retard")))</f>
        <v/>
      </c>
      <c r="Z60" s="17" t="n"/>
      <c r="AA60" s="14">
        <f>IF($B60="","",IF(OR(T60="X",AD60&lt;&gt;""),0,MAX(0,MIN(Q60,'Critères et poids'!$C$38*INT((TODAY()-IF(Z60&lt;&gt;"",Z60,INT($A60)))/7)))))</f>
        <v/>
      </c>
      <c r="AB60" s="14">
        <f>IF($B60="","",MAX(0,S60-AA60))</f>
        <v/>
      </c>
      <c r="AC60" s="9">
        <f>IF($B60="","",IF(T60="X","X",IF(AB60&gt;='Critères et poids'!$C$29,"A",IF(AB60&gt;='Critères et poids'!$C$30,"B","C"))))</f>
        <v/>
      </c>
      <c r="AD60" s="4" t="n"/>
      <c r="AE60" s="18" t="n"/>
      <c r="AF60" s="6" t="n"/>
      <c r="AH60">
        <f>IF($A60="","",IF(OR(WEEKDAY($A60,2)&gt;5,ROUND(MOD($A60,1)*1440,0)&gt;=ROUND('Critères et poids'!$C$37*1440,0)),WORKDAY(INT($A60),1)+ROUND('Critères et poids'!$C$36*1440,0)/1440,IF(ROUND(MOD($A60,1)*1440,0)&lt;ROUND('Critères et poids'!$C$36*1440,0),INT($A60)+ROUND('Critères et poids'!$C$36*1440,0)/1440,$A60)))</f>
        <v/>
      </c>
      <c r="AI60">
        <f>IF(AH60="","",ROUND(MOD(AH60,1)*1440,0))</f>
        <v/>
      </c>
      <c r="AJ60">
        <f>IF(T60="","",INDEX('Critères et poids'!$E$29:$E$32,MATCH(T60,'Critères et poids'!$A$29:$A$32,0)))</f>
        <v/>
      </c>
    </row>
    <row r="61">
      <c r="A61" s="13" t="n"/>
      <c r="B61" s="6" t="n"/>
      <c r="C61" s="6" t="n"/>
      <c r="D61" s="4" t="n"/>
      <c r="E61" s="4" t="n"/>
      <c r="F61" s="4" t="n"/>
      <c r="G61" s="4" t="n"/>
      <c r="H61" s="4" t="n"/>
      <c r="I61" s="4" t="n"/>
      <c r="J61" s="4" t="n"/>
      <c r="K61" s="4" t="n"/>
      <c r="L61" s="4" t="n"/>
      <c r="M61" s="4" t="n"/>
      <c r="N61" s="6" t="n"/>
      <c r="O61" s="6" t="n"/>
      <c r="P61" s="14">
        <f>IF($B61="","",(E61="Clair")*'Critères et poids'!$G$5+(E61="Partiel")*'Critères et poids'!$G$5/2+(F61="Clair")*'Critères et poids'!$G$6+(F61="Partiel")*'Critères et poids'!$G$6/2+(G61="Clair")*'Critères et poids'!$G$7+(G61="Partiel")*'Critères et poids'!$G$7/2+(H61="Clair")*'Critères et poids'!$G$8+(H61="Partiel")*'Critères et poids'!$G$8/2)</f>
        <v/>
      </c>
      <c r="Q61" s="14">
        <f>IF($B61="","",(I61="Clair")*'Critères et poids'!$G$9+(I61="Partiel")*'Critères et poids'!$G$9/2+(J61="Clair")*'Critères et poids'!$G$10+(J61="Partiel")*'Critères et poids'!$G$10/2+(K61="Clair")*'Critères et poids'!$G$11+(K61="Partiel")*'Critères et poids'!$G$11/2+(L61="Clair")*'Critères et poids'!$G$12+(L61="Partiel")*'Critères et poids'!$G$12/2+(M61="Clair")*'Critères et poids'!$G$13+(M61="Partiel")*'Critères et poids'!$G$13/2)</f>
        <v/>
      </c>
      <c r="R61" s="14">
        <f>IF($B61="","",IFERROR(VLOOKUP(N61,'Critères et poids'!$B$17:$C$20,2,FALSE),0))</f>
        <v/>
      </c>
      <c r="S61" s="9">
        <f>IF($B61="","",MAX(0,P61+Q61+R61))</f>
        <v/>
      </c>
      <c r="T61" s="9">
        <f>IF($B61="","",IF(O61&lt;&gt;"","X",IF(S61&gt;='Critères et poids'!$C$29,"A",IF(S61&gt;='Critères et poids'!$C$30,"B","C"))))</f>
        <v/>
      </c>
      <c r="U61" s="14">
        <f>IF(T61="","",INDEX('Critères et poids'!$D$29:$D$32,MATCH(T61,'Critères et poids'!$A$29:$A$32,0)))</f>
        <v/>
      </c>
      <c r="V61" s="14">
        <f>IF(T61="","",INDEX('Critères et poids'!$F$29:$F$32,MATCH(T61,'Critères et poids'!$A$29:$A$32,0)))</f>
        <v/>
      </c>
      <c r="W61" s="15">
        <f>IF(OR(AH61="",AJ61=""),"",IF(AI61+AJ61*60&lt;=ROUND('Critères et poids'!$C$37*1440,0),INT(AH61)+(AI61+AJ61*60)/1440,WORKDAY(INT(AH61),1+INT((AI61+AJ61*60-ROUND('Critères et poids'!$C$37*1440,0)-1)/(ROUND('Critères et poids'!$C$37*1440,0)-ROUND('Critères et poids'!$C$36*1440,0))))+(ROUND('Critères et poids'!$C$36*1440,0)+AI61+AJ61*60-ROUND('Critères et poids'!$C$37*1440,0)-INT((AI61+AJ61*60-ROUND('Critères et poids'!$C$37*1440,0)-1)/(ROUND('Critères et poids'!$C$37*1440,0)-ROUND('Critères et poids'!$C$36*1440,0)))*(ROUND('Critères et poids'!$C$37*1440,0)-ROUND('Critères et poids'!$C$36*1440,0)))/1440))</f>
        <v/>
      </c>
      <c r="X61" s="16" t="n"/>
      <c r="Y61" s="14">
        <f>IF(W61="","",IF(X61="",IF(NOW()&gt;W61,"En retard","En attente"),IF(X61&lt;=W61,"À temps","En retard")))</f>
        <v/>
      </c>
      <c r="Z61" s="17" t="n"/>
      <c r="AA61" s="14">
        <f>IF($B61="","",IF(OR(T61="X",AD61&lt;&gt;""),0,MAX(0,MIN(Q61,'Critères et poids'!$C$38*INT((TODAY()-IF(Z61&lt;&gt;"",Z61,INT($A61)))/7)))))</f>
        <v/>
      </c>
      <c r="AB61" s="14">
        <f>IF($B61="","",MAX(0,S61-AA61))</f>
        <v/>
      </c>
      <c r="AC61" s="9">
        <f>IF($B61="","",IF(T61="X","X",IF(AB61&gt;='Critères et poids'!$C$29,"A",IF(AB61&gt;='Critères et poids'!$C$30,"B","C"))))</f>
        <v/>
      </c>
      <c r="AD61" s="4" t="n"/>
      <c r="AE61" s="18" t="n"/>
      <c r="AF61" s="6" t="n"/>
      <c r="AH61">
        <f>IF($A61="","",IF(OR(WEEKDAY($A61,2)&gt;5,ROUND(MOD($A61,1)*1440,0)&gt;=ROUND('Critères et poids'!$C$37*1440,0)),WORKDAY(INT($A61),1)+ROUND('Critères et poids'!$C$36*1440,0)/1440,IF(ROUND(MOD($A61,1)*1440,0)&lt;ROUND('Critères et poids'!$C$36*1440,0),INT($A61)+ROUND('Critères et poids'!$C$36*1440,0)/1440,$A61)))</f>
        <v/>
      </c>
      <c r="AI61">
        <f>IF(AH61="","",ROUND(MOD(AH61,1)*1440,0))</f>
        <v/>
      </c>
      <c r="AJ61">
        <f>IF(T61="","",INDEX('Critères et poids'!$E$29:$E$32,MATCH(T61,'Critères et poids'!$A$29:$A$32,0)))</f>
        <v/>
      </c>
    </row>
    <row r="62">
      <c r="A62" s="13" t="n"/>
      <c r="B62" s="6" t="n"/>
      <c r="C62" s="6" t="n"/>
      <c r="D62" s="4" t="n"/>
      <c r="E62" s="4" t="n"/>
      <c r="F62" s="4" t="n"/>
      <c r="G62" s="4" t="n"/>
      <c r="H62" s="4" t="n"/>
      <c r="I62" s="4" t="n"/>
      <c r="J62" s="4" t="n"/>
      <c r="K62" s="4" t="n"/>
      <c r="L62" s="4" t="n"/>
      <c r="M62" s="4" t="n"/>
      <c r="N62" s="6" t="n"/>
      <c r="O62" s="6" t="n"/>
      <c r="P62" s="14">
        <f>IF($B62="","",(E62="Clair")*'Critères et poids'!$G$5+(E62="Partiel")*'Critères et poids'!$G$5/2+(F62="Clair")*'Critères et poids'!$G$6+(F62="Partiel")*'Critères et poids'!$G$6/2+(G62="Clair")*'Critères et poids'!$G$7+(G62="Partiel")*'Critères et poids'!$G$7/2+(H62="Clair")*'Critères et poids'!$G$8+(H62="Partiel")*'Critères et poids'!$G$8/2)</f>
        <v/>
      </c>
      <c r="Q62" s="14">
        <f>IF($B62="","",(I62="Clair")*'Critères et poids'!$G$9+(I62="Partiel")*'Critères et poids'!$G$9/2+(J62="Clair")*'Critères et poids'!$G$10+(J62="Partiel")*'Critères et poids'!$G$10/2+(K62="Clair")*'Critères et poids'!$G$11+(K62="Partiel")*'Critères et poids'!$G$11/2+(L62="Clair")*'Critères et poids'!$G$12+(L62="Partiel")*'Critères et poids'!$G$12/2+(M62="Clair")*'Critères et poids'!$G$13+(M62="Partiel")*'Critères et poids'!$G$13/2)</f>
        <v/>
      </c>
      <c r="R62" s="14">
        <f>IF($B62="","",IFERROR(VLOOKUP(N62,'Critères et poids'!$B$17:$C$20,2,FALSE),0))</f>
        <v/>
      </c>
      <c r="S62" s="9">
        <f>IF($B62="","",MAX(0,P62+Q62+R62))</f>
        <v/>
      </c>
      <c r="T62" s="9">
        <f>IF($B62="","",IF(O62&lt;&gt;"","X",IF(S62&gt;='Critères et poids'!$C$29,"A",IF(S62&gt;='Critères et poids'!$C$30,"B","C"))))</f>
        <v/>
      </c>
      <c r="U62" s="14">
        <f>IF(T62="","",INDEX('Critères et poids'!$D$29:$D$32,MATCH(T62,'Critères et poids'!$A$29:$A$32,0)))</f>
        <v/>
      </c>
      <c r="V62" s="14">
        <f>IF(T62="","",INDEX('Critères et poids'!$F$29:$F$32,MATCH(T62,'Critères et poids'!$A$29:$A$32,0)))</f>
        <v/>
      </c>
      <c r="W62" s="15">
        <f>IF(OR(AH62="",AJ62=""),"",IF(AI62+AJ62*60&lt;=ROUND('Critères et poids'!$C$37*1440,0),INT(AH62)+(AI62+AJ62*60)/1440,WORKDAY(INT(AH62),1+INT((AI62+AJ62*60-ROUND('Critères et poids'!$C$37*1440,0)-1)/(ROUND('Critères et poids'!$C$37*1440,0)-ROUND('Critères et poids'!$C$36*1440,0))))+(ROUND('Critères et poids'!$C$36*1440,0)+AI62+AJ62*60-ROUND('Critères et poids'!$C$37*1440,0)-INT((AI62+AJ62*60-ROUND('Critères et poids'!$C$37*1440,0)-1)/(ROUND('Critères et poids'!$C$37*1440,0)-ROUND('Critères et poids'!$C$36*1440,0)))*(ROUND('Critères et poids'!$C$37*1440,0)-ROUND('Critères et poids'!$C$36*1440,0)))/1440))</f>
        <v/>
      </c>
      <c r="X62" s="16" t="n"/>
      <c r="Y62" s="14">
        <f>IF(W62="","",IF(X62="",IF(NOW()&gt;W62,"En retard","En attente"),IF(X62&lt;=W62,"À temps","En retard")))</f>
        <v/>
      </c>
      <c r="Z62" s="17" t="n"/>
      <c r="AA62" s="14">
        <f>IF($B62="","",IF(OR(T62="X",AD62&lt;&gt;""),0,MAX(0,MIN(Q62,'Critères et poids'!$C$38*INT((TODAY()-IF(Z62&lt;&gt;"",Z62,INT($A62)))/7)))))</f>
        <v/>
      </c>
      <c r="AB62" s="14">
        <f>IF($B62="","",MAX(0,S62-AA62))</f>
        <v/>
      </c>
      <c r="AC62" s="9">
        <f>IF($B62="","",IF(T62="X","X",IF(AB62&gt;='Critères et poids'!$C$29,"A",IF(AB62&gt;='Critères et poids'!$C$30,"B","C"))))</f>
        <v/>
      </c>
      <c r="AD62" s="4" t="n"/>
      <c r="AE62" s="18" t="n"/>
      <c r="AF62" s="6" t="n"/>
      <c r="AH62">
        <f>IF($A62="","",IF(OR(WEEKDAY($A62,2)&gt;5,ROUND(MOD($A62,1)*1440,0)&gt;=ROUND('Critères et poids'!$C$37*1440,0)),WORKDAY(INT($A62),1)+ROUND('Critères et poids'!$C$36*1440,0)/1440,IF(ROUND(MOD($A62,1)*1440,0)&lt;ROUND('Critères et poids'!$C$36*1440,0),INT($A62)+ROUND('Critères et poids'!$C$36*1440,0)/1440,$A62)))</f>
        <v/>
      </c>
      <c r="AI62">
        <f>IF(AH62="","",ROUND(MOD(AH62,1)*1440,0))</f>
        <v/>
      </c>
      <c r="AJ62">
        <f>IF(T62="","",INDEX('Critères et poids'!$E$29:$E$32,MATCH(T62,'Critères et poids'!$A$29:$A$32,0)))</f>
        <v/>
      </c>
    </row>
    <row r="63">
      <c r="A63" s="13" t="n"/>
      <c r="B63" s="6" t="n"/>
      <c r="C63" s="6" t="n"/>
      <c r="D63" s="4" t="n"/>
      <c r="E63" s="4" t="n"/>
      <c r="F63" s="4" t="n"/>
      <c r="G63" s="4" t="n"/>
      <c r="H63" s="4" t="n"/>
      <c r="I63" s="4" t="n"/>
      <c r="J63" s="4" t="n"/>
      <c r="K63" s="4" t="n"/>
      <c r="L63" s="4" t="n"/>
      <c r="M63" s="4" t="n"/>
      <c r="N63" s="6" t="n"/>
      <c r="O63" s="6" t="n"/>
      <c r="P63" s="14">
        <f>IF($B63="","",(E63="Clair")*'Critères et poids'!$G$5+(E63="Partiel")*'Critères et poids'!$G$5/2+(F63="Clair")*'Critères et poids'!$G$6+(F63="Partiel")*'Critères et poids'!$G$6/2+(G63="Clair")*'Critères et poids'!$G$7+(G63="Partiel")*'Critères et poids'!$G$7/2+(H63="Clair")*'Critères et poids'!$G$8+(H63="Partiel")*'Critères et poids'!$G$8/2)</f>
        <v/>
      </c>
      <c r="Q63" s="14">
        <f>IF($B63="","",(I63="Clair")*'Critères et poids'!$G$9+(I63="Partiel")*'Critères et poids'!$G$9/2+(J63="Clair")*'Critères et poids'!$G$10+(J63="Partiel")*'Critères et poids'!$G$10/2+(K63="Clair")*'Critères et poids'!$G$11+(K63="Partiel")*'Critères et poids'!$G$11/2+(L63="Clair")*'Critères et poids'!$G$12+(L63="Partiel")*'Critères et poids'!$G$12/2+(M63="Clair")*'Critères et poids'!$G$13+(M63="Partiel")*'Critères et poids'!$G$13/2)</f>
        <v/>
      </c>
      <c r="R63" s="14">
        <f>IF($B63="","",IFERROR(VLOOKUP(N63,'Critères et poids'!$B$17:$C$20,2,FALSE),0))</f>
        <v/>
      </c>
      <c r="S63" s="9">
        <f>IF($B63="","",MAX(0,P63+Q63+R63))</f>
        <v/>
      </c>
      <c r="T63" s="9">
        <f>IF($B63="","",IF(O63&lt;&gt;"","X",IF(S63&gt;='Critères et poids'!$C$29,"A",IF(S63&gt;='Critères et poids'!$C$30,"B","C"))))</f>
        <v/>
      </c>
      <c r="U63" s="14">
        <f>IF(T63="","",INDEX('Critères et poids'!$D$29:$D$32,MATCH(T63,'Critères et poids'!$A$29:$A$32,0)))</f>
        <v/>
      </c>
      <c r="V63" s="14">
        <f>IF(T63="","",INDEX('Critères et poids'!$F$29:$F$32,MATCH(T63,'Critères et poids'!$A$29:$A$32,0)))</f>
        <v/>
      </c>
      <c r="W63" s="15">
        <f>IF(OR(AH63="",AJ63=""),"",IF(AI63+AJ63*60&lt;=ROUND('Critères et poids'!$C$37*1440,0),INT(AH63)+(AI63+AJ63*60)/1440,WORKDAY(INT(AH63),1+INT((AI63+AJ63*60-ROUND('Critères et poids'!$C$37*1440,0)-1)/(ROUND('Critères et poids'!$C$37*1440,0)-ROUND('Critères et poids'!$C$36*1440,0))))+(ROUND('Critères et poids'!$C$36*1440,0)+AI63+AJ63*60-ROUND('Critères et poids'!$C$37*1440,0)-INT((AI63+AJ63*60-ROUND('Critères et poids'!$C$37*1440,0)-1)/(ROUND('Critères et poids'!$C$37*1440,0)-ROUND('Critères et poids'!$C$36*1440,0)))*(ROUND('Critères et poids'!$C$37*1440,0)-ROUND('Critères et poids'!$C$36*1440,0)))/1440))</f>
        <v/>
      </c>
      <c r="X63" s="16" t="n"/>
      <c r="Y63" s="14">
        <f>IF(W63="","",IF(X63="",IF(NOW()&gt;W63,"En retard","En attente"),IF(X63&lt;=W63,"À temps","En retard")))</f>
        <v/>
      </c>
      <c r="Z63" s="17" t="n"/>
      <c r="AA63" s="14">
        <f>IF($B63="","",IF(OR(T63="X",AD63&lt;&gt;""),0,MAX(0,MIN(Q63,'Critères et poids'!$C$38*INT((TODAY()-IF(Z63&lt;&gt;"",Z63,INT($A63)))/7)))))</f>
        <v/>
      </c>
      <c r="AB63" s="14">
        <f>IF($B63="","",MAX(0,S63-AA63))</f>
        <v/>
      </c>
      <c r="AC63" s="9">
        <f>IF($B63="","",IF(T63="X","X",IF(AB63&gt;='Critères et poids'!$C$29,"A",IF(AB63&gt;='Critères et poids'!$C$30,"B","C"))))</f>
        <v/>
      </c>
      <c r="AD63" s="4" t="n"/>
      <c r="AE63" s="18" t="n"/>
      <c r="AF63" s="6" t="n"/>
      <c r="AH63">
        <f>IF($A63="","",IF(OR(WEEKDAY($A63,2)&gt;5,ROUND(MOD($A63,1)*1440,0)&gt;=ROUND('Critères et poids'!$C$37*1440,0)),WORKDAY(INT($A63),1)+ROUND('Critères et poids'!$C$36*1440,0)/1440,IF(ROUND(MOD($A63,1)*1440,0)&lt;ROUND('Critères et poids'!$C$36*1440,0),INT($A63)+ROUND('Critères et poids'!$C$36*1440,0)/1440,$A63)))</f>
        <v/>
      </c>
      <c r="AI63">
        <f>IF(AH63="","",ROUND(MOD(AH63,1)*1440,0))</f>
        <v/>
      </c>
      <c r="AJ63">
        <f>IF(T63="","",INDEX('Critères et poids'!$E$29:$E$32,MATCH(T63,'Critères et poids'!$A$29:$A$32,0)))</f>
        <v/>
      </c>
    </row>
    <row r="64">
      <c r="A64" s="13" t="n"/>
      <c r="B64" s="6" t="n"/>
      <c r="C64" s="6" t="n"/>
      <c r="D64" s="4" t="n"/>
      <c r="E64" s="4" t="n"/>
      <c r="F64" s="4" t="n"/>
      <c r="G64" s="4" t="n"/>
      <c r="H64" s="4" t="n"/>
      <c r="I64" s="4" t="n"/>
      <c r="J64" s="4" t="n"/>
      <c r="K64" s="4" t="n"/>
      <c r="L64" s="4" t="n"/>
      <c r="M64" s="4" t="n"/>
      <c r="N64" s="6" t="n"/>
      <c r="O64" s="6" t="n"/>
      <c r="P64" s="14">
        <f>IF($B64="","",(E64="Clair")*'Critères et poids'!$G$5+(E64="Partiel")*'Critères et poids'!$G$5/2+(F64="Clair")*'Critères et poids'!$G$6+(F64="Partiel")*'Critères et poids'!$G$6/2+(G64="Clair")*'Critères et poids'!$G$7+(G64="Partiel")*'Critères et poids'!$G$7/2+(H64="Clair")*'Critères et poids'!$G$8+(H64="Partiel")*'Critères et poids'!$G$8/2)</f>
        <v/>
      </c>
      <c r="Q64" s="14">
        <f>IF($B64="","",(I64="Clair")*'Critères et poids'!$G$9+(I64="Partiel")*'Critères et poids'!$G$9/2+(J64="Clair")*'Critères et poids'!$G$10+(J64="Partiel")*'Critères et poids'!$G$10/2+(K64="Clair")*'Critères et poids'!$G$11+(K64="Partiel")*'Critères et poids'!$G$11/2+(L64="Clair")*'Critères et poids'!$G$12+(L64="Partiel")*'Critères et poids'!$G$12/2+(M64="Clair")*'Critères et poids'!$G$13+(M64="Partiel")*'Critères et poids'!$G$13/2)</f>
        <v/>
      </c>
      <c r="R64" s="14">
        <f>IF($B64="","",IFERROR(VLOOKUP(N64,'Critères et poids'!$B$17:$C$20,2,FALSE),0))</f>
        <v/>
      </c>
      <c r="S64" s="9">
        <f>IF($B64="","",MAX(0,P64+Q64+R64))</f>
        <v/>
      </c>
      <c r="T64" s="9">
        <f>IF($B64="","",IF(O64&lt;&gt;"","X",IF(S64&gt;='Critères et poids'!$C$29,"A",IF(S64&gt;='Critères et poids'!$C$30,"B","C"))))</f>
        <v/>
      </c>
      <c r="U64" s="14">
        <f>IF(T64="","",INDEX('Critères et poids'!$D$29:$D$32,MATCH(T64,'Critères et poids'!$A$29:$A$32,0)))</f>
        <v/>
      </c>
      <c r="V64" s="14">
        <f>IF(T64="","",INDEX('Critères et poids'!$F$29:$F$32,MATCH(T64,'Critères et poids'!$A$29:$A$32,0)))</f>
        <v/>
      </c>
      <c r="W64" s="15">
        <f>IF(OR(AH64="",AJ64=""),"",IF(AI64+AJ64*60&lt;=ROUND('Critères et poids'!$C$37*1440,0),INT(AH64)+(AI64+AJ64*60)/1440,WORKDAY(INT(AH64),1+INT((AI64+AJ64*60-ROUND('Critères et poids'!$C$37*1440,0)-1)/(ROUND('Critères et poids'!$C$37*1440,0)-ROUND('Critères et poids'!$C$36*1440,0))))+(ROUND('Critères et poids'!$C$36*1440,0)+AI64+AJ64*60-ROUND('Critères et poids'!$C$37*1440,0)-INT((AI64+AJ64*60-ROUND('Critères et poids'!$C$37*1440,0)-1)/(ROUND('Critères et poids'!$C$37*1440,0)-ROUND('Critères et poids'!$C$36*1440,0)))*(ROUND('Critères et poids'!$C$37*1440,0)-ROUND('Critères et poids'!$C$36*1440,0)))/1440))</f>
        <v/>
      </c>
      <c r="X64" s="16" t="n"/>
      <c r="Y64" s="14">
        <f>IF(W64="","",IF(X64="",IF(NOW()&gt;W64,"En retard","En attente"),IF(X64&lt;=W64,"À temps","En retard")))</f>
        <v/>
      </c>
      <c r="Z64" s="17" t="n"/>
      <c r="AA64" s="14">
        <f>IF($B64="","",IF(OR(T64="X",AD64&lt;&gt;""),0,MAX(0,MIN(Q64,'Critères et poids'!$C$38*INT((TODAY()-IF(Z64&lt;&gt;"",Z64,INT($A64)))/7)))))</f>
        <v/>
      </c>
      <c r="AB64" s="14">
        <f>IF($B64="","",MAX(0,S64-AA64))</f>
        <v/>
      </c>
      <c r="AC64" s="9">
        <f>IF($B64="","",IF(T64="X","X",IF(AB64&gt;='Critères et poids'!$C$29,"A",IF(AB64&gt;='Critères et poids'!$C$30,"B","C"))))</f>
        <v/>
      </c>
      <c r="AD64" s="4" t="n"/>
      <c r="AE64" s="18" t="n"/>
      <c r="AF64" s="6" t="n"/>
      <c r="AH64">
        <f>IF($A64="","",IF(OR(WEEKDAY($A64,2)&gt;5,ROUND(MOD($A64,1)*1440,0)&gt;=ROUND('Critères et poids'!$C$37*1440,0)),WORKDAY(INT($A64),1)+ROUND('Critères et poids'!$C$36*1440,0)/1440,IF(ROUND(MOD($A64,1)*1440,0)&lt;ROUND('Critères et poids'!$C$36*1440,0),INT($A64)+ROUND('Critères et poids'!$C$36*1440,0)/1440,$A64)))</f>
        <v/>
      </c>
      <c r="AI64">
        <f>IF(AH64="","",ROUND(MOD(AH64,1)*1440,0))</f>
        <v/>
      </c>
      <c r="AJ64">
        <f>IF(T64="","",INDEX('Critères et poids'!$E$29:$E$32,MATCH(T64,'Critères et poids'!$A$29:$A$32,0)))</f>
        <v/>
      </c>
    </row>
    <row r="65">
      <c r="A65" s="13" t="n"/>
      <c r="B65" s="6" t="n"/>
      <c r="C65" s="6" t="n"/>
      <c r="D65" s="4" t="n"/>
      <c r="E65" s="4" t="n"/>
      <c r="F65" s="4" t="n"/>
      <c r="G65" s="4" t="n"/>
      <c r="H65" s="4" t="n"/>
      <c r="I65" s="4" t="n"/>
      <c r="J65" s="4" t="n"/>
      <c r="K65" s="4" t="n"/>
      <c r="L65" s="4" t="n"/>
      <c r="M65" s="4" t="n"/>
      <c r="N65" s="6" t="n"/>
      <c r="O65" s="6" t="n"/>
      <c r="P65" s="14">
        <f>IF($B65="","",(E65="Clair")*'Critères et poids'!$G$5+(E65="Partiel")*'Critères et poids'!$G$5/2+(F65="Clair")*'Critères et poids'!$G$6+(F65="Partiel")*'Critères et poids'!$G$6/2+(G65="Clair")*'Critères et poids'!$G$7+(G65="Partiel")*'Critères et poids'!$G$7/2+(H65="Clair")*'Critères et poids'!$G$8+(H65="Partiel")*'Critères et poids'!$G$8/2)</f>
        <v/>
      </c>
      <c r="Q65" s="14">
        <f>IF($B65="","",(I65="Clair")*'Critères et poids'!$G$9+(I65="Partiel")*'Critères et poids'!$G$9/2+(J65="Clair")*'Critères et poids'!$G$10+(J65="Partiel")*'Critères et poids'!$G$10/2+(K65="Clair")*'Critères et poids'!$G$11+(K65="Partiel")*'Critères et poids'!$G$11/2+(L65="Clair")*'Critères et poids'!$G$12+(L65="Partiel")*'Critères et poids'!$G$12/2+(M65="Clair")*'Critères et poids'!$G$13+(M65="Partiel")*'Critères et poids'!$G$13/2)</f>
        <v/>
      </c>
      <c r="R65" s="14">
        <f>IF($B65="","",IFERROR(VLOOKUP(N65,'Critères et poids'!$B$17:$C$20,2,FALSE),0))</f>
        <v/>
      </c>
      <c r="S65" s="9">
        <f>IF($B65="","",MAX(0,P65+Q65+R65))</f>
        <v/>
      </c>
      <c r="T65" s="9">
        <f>IF($B65="","",IF(O65&lt;&gt;"","X",IF(S65&gt;='Critères et poids'!$C$29,"A",IF(S65&gt;='Critères et poids'!$C$30,"B","C"))))</f>
        <v/>
      </c>
      <c r="U65" s="14">
        <f>IF(T65="","",INDEX('Critères et poids'!$D$29:$D$32,MATCH(T65,'Critères et poids'!$A$29:$A$32,0)))</f>
        <v/>
      </c>
      <c r="V65" s="14">
        <f>IF(T65="","",INDEX('Critères et poids'!$F$29:$F$32,MATCH(T65,'Critères et poids'!$A$29:$A$32,0)))</f>
        <v/>
      </c>
      <c r="W65" s="15">
        <f>IF(OR(AH65="",AJ65=""),"",IF(AI65+AJ65*60&lt;=ROUND('Critères et poids'!$C$37*1440,0),INT(AH65)+(AI65+AJ65*60)/1440,WORKDAY(INT(AH65),1+INT((AI65+AJ65*60-ROUND('Critères et poids'!$C$37*1440,0)-1)/(ROUND('Critères et poids'!$C$37*1440,0)-ROUND('Critères et poids'!$C$36*1440,0))))+(ROUND('Critères et poids'!$C$36*1440,0)+AI65+AJ65*60-ROUND('Critères et poids'!$C$37*1440,0)-INT((AI65+AJ65*60-ROUND('Critères et poids'!$C$37*1440,0)-1)/(ROUND('Critères et poids'!$C$37*1440,0)-ROUND('Critères et poids'!$C$36*1440,0)))*(ROUND('Critères et poids'!$C$37*1440,0)-ROUND('Critères et poids'!$C$36*1440,0)))/1440))</f>
        <v/>
      </c>
      <c r="X65" s="16" t="n"/>
      <c r="Y65" s="14">
        <f>IF(W65="","",IF(X65="",IF(NOW()&gt;W65,"En retard","En attente"),IF(X65&lt;=W65,"À temps","En retard")))</f>
        <v/>
      </c>
      <c r="Z65" s="17" t="n"/>
      <c r="AA65" s="14">
        <f>IF($B65="","",IF(OR(T65="X",AD65&lt;&gt;""),0,MAX(0,MIN(Q65,'Critères et poids'!$C$38*INT((TODAY()-IF(Z65&lt;&gt;"",Z65,INT($A65)))/7)))))</f>
        <v/>
      </c>
      <c r="AB65" s="14">
        <f>IF($B65="","",MAX(0,S65-AA65))</f>
        <v/>
      </c>
      <c r="AC65" s="9">
        <f>IF($B65="","",IF(T65="X","X",IF(AB65&gt;='Critères et poids'!$C$29,"A",IF(AB65&gt;='Critères et poids'!$C$30,"B","C"))))</f>
        <v/>
      </c>
      <c r="AD65" s="4" t="n"/>
      <c r="AE65" s="18" t="n"/>
      <c r="AF65" s="6" t="n"/>
      <c r="AH65">
        <f>IF($A65="","",IF(OR(WEEKDAY($A65,2)&gt;5,ROUND(MOD($A65,1)*1440,0)&gt;=ROUND('Critères et poids'!$C$37*1440,0)),WORKDAY(INT($A65),1)+ROUND('Critères et poids'!$C$36*1440,0)/1440,IF(ROUND(MOD($A65,1)*1440,0)&lt;ROUND('Critères et poids'!$C$36*1440,0),INT($A65)+ROUND('Critères et poids'!$C$36*1440,0)/1440,$A65)))</f>
        <v/>
      </c>
      <c r="AI65">
        <f>IF(AH65="","",ROUND(MOD(AH65,1)*1440,0))</f>
        <v/>
      </c>
      <c r="AJ65">
        <f>IF(T65="","",INDEX('Critères et poids'!$E$29:$E$32,MATCH(T65,'Critères et poids'!$A$29:$A$32,0)))</f>
        <v/>
      </c>
    </row>
    <row r="66">
      <c r="A66" s="13" t="n"/>
      <c r="B66" s="6" t="n"/>
      <c r="C66" s="6" t="n"/>
      <c r="D66" s="4" t="n"/>
      <c r="E66" s="4" t="n"/>
      <c r="F66" s="4" t="n"/>
      <c r="G66" s="4" t="n"/>
      <c r="H66" s="4" t="n"/>
      <c r="I66" s="4" t="n"/>
      <c r="J66" s="4" t="n"/>
      <c r="K66" s="4" t="n"/>
      <c r="L66" s="4" t="n"/>
      <c r="M66" s="4" t="n"/>
      <c r="N66" s="6" t="n"/>
      <c r="O66" s="6" t="n"/>
      <c r="P66" s="14">
        <f>IF($B66="","",(E66="Clair")*'Critères et poids'!$G$5+(E66="Partiel")*'Critères et poids'!$G$5/2+(F66="Clair")*'Critères et poids'!$G$6+(F66="Partiel")*'Critères et poids'!$G$6/2+(G66="Clair")*'Critères et poids'!$G$7+(G66="Partiel")*'Critères et poids'!$G$7/2+(H66="Clair")*'Critères et poids'!$G$8+(H66="Partiel")*'Critères et poids'!$G$8/2)</f>
        <v/>
      </c>
      <c r="Q66" s="14">
        <f>IF($B66="","",(I66="Clair")*'Critères et poids'!$G$9+(I66="Partiel")*'Critères et poids'!$G$9/2+(J66="Clair")*'Critères et poids'!$G$10+(J66="Partiel")*'Critères et poids'!$G$10/2+(K66="Clair")*'Critères et poids'!$G$11+(K66="Partiel")*'Critères et poids'!$G$11/2+(L66="Clair")*'Critères et poids'!$G$12+(L66="Partiel")*'Critères et poids'!$G$12/2+(M66="Clair")*'Critères et poids'!$G$13+(M66="Partiel")*'Critères et poids'!$G$13/2)</f>
        <v/>
      </c>
      <c r="R66" s="14">
        <f>IF($B66="","",IFERROR(VLOOKUP(N66,'Critères et poids'!$B$17:$C$20,2,FALSE),0))</f>
        <v/>
      </c>
      <c r="S66" s="9">
        <f>IF($B66="","",MAX(0,P66+Q66+R66))</f>
        <v/>
      </c>
      <c r="T66" s="9">
        <f>IF($B66="","",IF(O66&lt;&gt;"","X",IF(S66&gt;='Critères et poids'!$C$29,"A",IF(S66&gt;='Critères et poids'!$C$30,"B","C"))))</f>
        <v/>
      </c>
      <c r="U66" s="14">
        <f>IF(T66="","",INDEX('Critères et poids'!$D$29:$D$32,MATCH(T66,'Critères et poids'!$A$29:$A$32,0)))</f>
        <v/>
      </c>
      <c r="V66" s="14">
        <f>IF(T66="","",INDEX('Critères et poids'!$F$29:$F$32,MATCH(T66,'Critères et poids'!$A$29:$A$32,0)))</f>
        <v/>
      </c>
      <c r="W66" s="15">
        <f>IF(OR(AH66="",AJ66=""),"",IF(AI66+AJ66*60&lt;=ROUND('Critères et poids'!$C$37*1440,0),INT(AH66)+(AI66+AJ66*60)/1440,WORKDAY(INT(AH66),1+INT((AI66+AJ66*60-ROUND('Critères et poids'!$C$37*1440,0)-1)/(ROUND('Critères et poids'!$C$37*1440,0)-ROUND('Critères et poids'!$C$36*1440,0))))+(ROUND('Critères et poids'!$C$36*1440,0)+AI66+AJ66*60-ROUND('Critères et poids'!$C$37*1440,0)-INT((AI66+AJ66*60-ROUND('Critères et poids'!$C$37*1440,0)-1)/(ROUND('Critères et poids'!$C$37*1440,0)-ROUND('Critères et poids'!$C$36*1440,0)))*(ROUND('Critères et poids'!$C$37*1440,0)-ROUND('Critères et poids'!$C$36*1440,0)))/1440))</f>
        <v/>
      </c>
      <c r="X66" s="16" t="n"/>
      <c r="Y66" s="14">
        <f>IF(W66="","",IF(X66="",IF(NOW()&gt;W66,"En retard","En attente"),IF(X66&lt;=W66,"À temps","En retard")))</f>
        <v/>
      </c>
      <c r="Z66" s="17" t="n"/>
      <c r="AA66" s="14">
        <f>IF($B66="","",IF(OR(T66="X",AD66&lt;&gt;""),0,MAX(0,MIN(Q66,'Critères et poids'!$C$38*INT((TODAY()-IF(Z66&lt;&gt;"",Z66,INT($A66)))/7)))))</f>
        <v/>
      </c>
      <c r="AB66" s="14">
        <f>IF($B66="","",MAX(0,S66-AA66))</f>
        <v/>
      </c>
      <c r="AC66" s="9">
        <f>IF($B66="","",IF(T66="X","X",IF(AB66&gt;='Critères et poids'!$C$29,"A",IF(AB66&gt;='Critères et poids'!$C$30,"B","C"))))</f>
        <v/>
      </c>
      <c r="AD66" s="4" t="n"/>
      <c r="AE66" s="18" t="n"/>
      <c r="AF66" s="6" t="n"/>
      <c r="AH66">
        <f>IF($A66="","",IF(OR(WEEKDAY($A66,2)&gt;5,ROUND(MOD($A66,1)*1440,0)&gt;=ROUND('Critères et poids'!$C$37*1440,0)),WORKDAY(INT($A66),1)+ROUND('Critères et poids'!$C$36*1440,0)/1440,IF(ROUND(MOD($A66,1)*1440,0)&lt;ROUND('Critères et poids'!$C$36*1440,0),INT($A66)+ROUND('Critères et poids'!$C$36*1440,0)/1440,$A66)))</f>
        <v/>
      </c>
      <c r="AI66">
        <f>IF(AH66="","",ROUND(MOD(AH66,1)*1440,0))</f>
        <v/>
      </c>
      <c r="AJ66">
        <f>IF(T66="","",INDEX('Critères et poids'!$E$29:$E$32,MATCH(T66,'Critères et poids'!$A$29:$A$32,0)))</f>
        <v/>
      </c>
    </row>
    <row r="67">
      <c r="A67" s="13" t="n"/>
      <c r="B67" s="6" t="n"/>
      <c r="C67" s="6" t="n"/>
      <c r="D67" s="4" t="n"/>
      <c r="E67" s="4" t="n"/>
      <c r="F67" s="4" t="n"/>
      <c r="G67" s="4" t="n"/>
      <c r="H67" s="4" t="n"/>
      <c r="I67" s="4" t="n"/>
      <c r="J67" s="4" t="n"/>
      <c r="K67" s="4" t="n"/>
      <c r="L67" s="4" t="n"/>
      <c r="M67" s="4" t="n"/>
      <c r="N67" s="6" t="n"/>
      <c r="O67" s="6" t="n"/>
      <c r="P67" s="14">
        <f>IF($B67="","",(E67="Clair")*'Critères et poids'!$G$5+(E67="Partiel")*'Critères et poids'!$G$5/2+(F67="Clair")*'Critères et poids'!$G$6+(F67="Partiel")*'Critères et poids'!$G$6/2+(G67="Clair")*'Critères et poids'!$G$7+(G67="Partiel")*'Critères et poids'!$G$7/2+(H67="Clair")*'Critères et poids'!$G$8+(H67="Partiel")*'Critères et poids'!$G$8/2)</f>
        <v/>
      </c>
      <c r="Q67" s="14">
        <f>IF($B67="","",(I67="Clair")*'Critères et poids'!$G$9+(I67="Partiel")*'Critères et poids'!$G$9/2+(J67="Clair")*'Critères et poids'!$G$10+(J67="Partiel")*'Critères et poids'!$G$10/2+(K67="Clair")*'Critères et poids'!$G$11+(K67="Partiel")*'Critères et poids'!$G$11/2+(L67="Clair")*'Critères et poids'!$G$12+(L67="Partiel")*'Critères et poids'!$G$12/2+(M67="Clair")*'Critères et poids'!$G$13+(M67="Partiel")*'Critères et poids'!$G$13/2)</f>
        <v/>
      </c>
      <c r="R67" s="14">
        <f>IF($B67="","",IFERROR(VLOOKUP(N67,'Critères et poids'!$B$17:$C$20,2,FALSE),0))</f>
        <v/>
      </c>
      <c r="S67" s="9">
        <f>IF($B67="","",MAX(0,P67+Q67+R67))</f>
        <v/>
      </c>
      <c r="T67" s="9">
        <f>IF($B67="","",IF(O67&lt;&gt;"","X",IF(S67&gt;='Critères et poids'!$C$29,"A",IF(S67&gt;='Critères et poids'!$C$30,"B","C"))))</f>
        <v/>
      </c>
      <c r="U67" s="14">
        <f>IF(T67="","",INDEX('Critères et poids'!$D$29:$D$32,MATCH(T67,'Critères et poids'!$A$29:$A$32,0)))</f>
        <v/>
      </c>
      <c r="V67" s="14">
        <f>IF(T67="","",INDEX('Critères et poids'!$F$29:$F$32,MATCH(T67,'Critères et poids'!$A$29:$A$32,0)))</f>
        <v/>
      </c>
      <c r="W67" s="15">
        <f>IF(OR(AH67="",AJ67=""),"",IF(AI67+AJ67*60&lt;=ROUND('Critères et poids'!$C$37*1440,0),INT(AH67)+(AI67+AJ67*60)/1440,WORKDAY(INT(AH67),1+INT((AI67+AJ67*60-ROUND('Critères et poids'!$C$37*1440,0)-1)/(ROUND('Critères et poids'!$C$37*1440,0)-ROUND('Critères et poids'!$C$36*1440,0))))+(ROUND('Critères et poids'!$C$36*1440,0)+AI67+AJ67*60-ROUND('Critères et poids'!$C$37*1440,0)-INT((AI67+AJ67*60-ROUND('Critères et poids'!$C$37*1440,0)-1)/(ROUND('Critères et poids'!$C$37*1440,0)-ROUND('Critères et poids'!$C$36*1440,0)))*(ROUND('Critères et poids'!$C$37*1440,0)-ROUND('Critères et poids'!$C$36*1440,0)))/1440))</f>
        <v/>
      </c>
      <c r="X67" s="16" t="n"/>
      <c r="Y67" s="14">
        <f>IF(W67="","",IF(X67="",IF(NOW()&gt;W67,"En retard","En attente"),IF(X67&lt;=W67,"À temps","En retard")))</f>
        <v/>
      </c>
      <c r="Z67" s="17" t="n"/>
      <c r="AA67" s="14">
        <f>IF($B67="","",IF(OR(T67="X",AD67&lt;&gt;""),0,MAX(0,MIN(Q67,'Critères et poids'!$C$38*INT((TODAY()-IF(Z67&lt;&gt;"",Z67,INT($A67)))/7)))))</f>
        <v/>
      </c>
      <c r="AB67" s="14">
        <f>IF($B67="","",MAX(0,S67-AA67))</f>
        <v/>
      </c>
      <c r="AC67" s="9">
        <f>IF($B67="","",IF(T67="X","X",IF(AB67&gt;='Critères et poids'!$C$29,"A",IF(AB67&gt;='Critères et poids'!$C$30,"B","C"))))</f>
        <v/>
      </c>
      <c r="AD67" s="4" t="n"/>
      <c r="AE67" s="18" t="n"/>
      <c r="AF67" s="6" t="n"/>
      <c r="AH67">
        <f>IF($A67="","",IF(OR(WEEKDAY($A67,2)&gt;5,ROUND(MOD($A67,1)*1440,0)&gt;=ROUND('Critères et poids'!$C$37*1440,0)),WORKDAY(INT($A67),1)+ROUND('Critères et poids'!$C$36*1440,0)/1440,IF(ROUND(MOD($A67,1)*1440,0)&lt;ROUND('Critères et poids'!$C$36*1440,0),INT($A67)+ROUND('Critères et poids'!$C$36*1440,0)/1440,$A67)))</f>
        <v/>
      </c>
      <c r="AI67">
        <f>IF(AH67="","",ROUND(MOD(AH67,1)*1440,0))</f>
        <v/>
      </c>
      <c r="AJ67">
        <f>IF(T67="","",INDEX('Critères et poids'!$E$29:$E$32,MATCH(T67,'Critères et poids'!$A$29:$A$32,0)))</f>
        <v/>
      </c>
    </row>
    <row r="68">
      <c r="A68" s="13" t="n"/>
      <c r="B68" s="6" t="n"/>
      <c r="C68" s="6" t="n"/>
      <c r="D68" s="4" t="n"/>
      <c r="E68" s="4" t="n"/>
      <c r="F68" s="4" t="n"/>
      <c r="G68" s="4" t="n"/>
      <c r="H68" s="4" t="n"/>
      <c r="I68" s="4" t="n"/>
      <c r="J68" s="4" t="n"/>
      <c r="K68" s="4" t="n"/>
      <c r="L68" s="4" t="n"/>
      <c r="M68" s="4" t="n"/>
      <c r="N68" s="6" t="n"/>
      <c r="O68" s="6" t="n"/>
      <c r="P68" s="14">
        <f>IF($B68="","",(E68="Clair")*'Critères et poids'!$G$5+(E68="Partiel")*'Critères et poids'!$G$5/2+(F68="Clair")*'Critères et poids'!$G$6+(F68="Partiel")*'Critères et poids'!$G$6/2+(G68="Clair")*'Critères et poids'!$G$7+(G68="Partiel")*'Critères et poids'!$G$7/2+(H68="Clair")*'Critères et poids'!$G$8+(H68="Partiel")*'Critères et poids'!$G$8/2)</f>
        <v/>
      </c>
      <c r="Q68" s="14">
        <f>IF($B68="","",(I68="Clair")*'Critères et poids'!$G$9+(I68="Partiel")*'Critères et poids'!$G$9/2+(J68="Clair")*'Critères et poids'!$G$10+(J68="Partiel")*'Critères et poids'!$G$10/2+(K68="Clair")*'Critères et poids'!$G$11+(K68="Partiel")*'Critères et poids'!$G$11/2+(L68="Clair")*'Critères et poids'!$G$12+(L68="Partiel")*'Critères et poids'!$G$12/2+(M68="Clair")*'Critères et poids'!$G$13+(M68="Partiel")*'Critères et poids'!$G$13/2)</f>
        <v/>
      </c>
      <c r="R68" s="14">
        <f>IF($B68="","",IFERROR(VLOOKUP(N68,'Critères et poids'!$B$17:$C$20,2,FALSE),0))</f>
        <v/>
      </c>
      <c r="S68" s="9">
        <f>IF($B68="","",MAX(0,P68+Q68+R68))</f>
        <v/>
      </c>
      <c r="T68" s="9">
        <f>IF($B68="","",IF(O68&lt;&gt;"","X",IF(S68&gt;='Critères et poids'!$C$29,"A",IF(S68&gt;='Critères et poids'!$C$30,"B","C"))))</f>
        <v/>
      </c>
      <c r="U68" s="14">
        <f>IF(T68="","",INDEX('Critères et poids'!$D$29:$D$32,MATCH(T68,'Critères et poids'!$A$29:$A$32,0)))</f>
        <v/>
      </c>
      <c r="V68" s="14">
        <f>IF(T68="","",INDEX('Critères et poids'!$F$29:$F$32,MATCH(T68,'Critères et poids'!$A$29:$A$32,0)))</f>
        <v/>
      </c>
      <c r="W68" s="15">
        <f>IF(OR(AH68="",AJ68=""),"",IF(AI68+AJ68*60&lt;=ROUND('Critères et poids'!$C$37*1440,0),INT(AH68)+(AI68+AJ68*60)/1440,WORKDAY(INT(AH68),1+INT((AI68+AJ68*60-ROUND('Critères et poids'!$C$37*1440,0)-1)/(ROUND('Critères et poids'!$C$37*1440,0)-ROUND('Critères et poids'!$C$36*1440,0))))+(ROUND('Critères et poids'!$C$36*1440,0)+AI68+AJ68*60-ROUND('Critères et poids'!$C$37*1440,0)-INT((AI68+AJ68*60-ROUND('Critères et poids'!$C$37*1440,0)-1)/(ROUND('Critères et poids'!$C$37*1440,0)-ROUND('Critères et poids'!$C$36*1440,0)))*(ROUND('Critères et poids'!$C$37*1440,0)-ROUND('Critères et poids'!$C$36*1440,0)))/1440))</f>
        <v/>
      </c>
      <c r="X68" s="16" t="n"/>
      <c r="Y68" s="14">
        <f>IF(W68="","",IF(X68="",IF(NOW()&gt;W68,"En retard","En attente"),IF(X68&lt;=W68,"À temps","En retard")))</f>
        <v/>
      </c>
      <c r="Z68" s="17" t="n"/>
      <c r="AA68" s="14">
        <f>IF($B68="","",IF(OR(T68="X",AD68&lt;&gt;""),0,MAX(0,MIN(Q68,'Critères et poids'!$C$38*INT((TODAY()-IF(Z68&lt;&gt;"",Z68,INT($A68)))/7)))))</f>
        <v/>
      </c>
      <c r="AB68" s="14">
        <f>IF($B68="","",MAX(0,S68-AA68))</f>
        <v/>
      </c>
      <c r="AC68" s="9">
        <f>IF($B68="","",IF(T68="X","X",IF(AB68&gt;='Critères et poids'!$C$29,"A",IF(AB68&gt;='Critères et poids'!$C$30,"B","C"))))</f>
        <v/>
      </c>
      <c r="AD68" s="4" t="n"/>
      <c r="AE68" s="18" t="n"/>
      <c r="AF68" s="6" t="n"/>
      <c r="AH68">
        <f>IF($A68="","",IF(OR(WEEKDAY($A68,2)&gt;5,ROUND(MOD($A68,1)*1440,0)&gt;=ROUND('Critères et poids'!$C$37*1440,0)),WORKDAY(INT($A68),1)+ROUND('Critères et poids'!$C$36*1440,0)/1440,IF(ROUND(MOD($A68,1)*1440,0)&lt;ROUND('Critères et poids'!$C$36*1440,0),INT($A68)+ROUND('Critères et poids'!$C$36*1440,0)/1440,$A68)))</f>
        <v/>
      </c>
      <c r="AI68">
        <f>IF(AH68="","",ROUND(MOD(AH68,1)*1440,0))</f>
        <v/>
      </c>
      <c r="AJ68">
        <f>IF(T68="","",INDEX('Critères et poids'!$E$29:$E$32,MATCH(T68,'Critères et poids'!$A$29:$A$32,0)))</f>
        <v/>
      </c>
    </row>
    <row r="69">
      <c r="A69" s="13" t="n"/>
      <c r="B69" s="6" t="n"/>
      <c r="C69" s="6" t="n"/>
      <c r="D69" s="4" t="n"/>
      <c r="E69" s="4" t="n"/>
      <c r="F69" s="4" t="n"/>
      <c r="G69" s="4" t="n"/>
      <c r="H69" s="4" t="n"/>
      <c r="I69" s="4" t="n"/>
      <c r="J69" s="4" t="n"/>
      <c r="K69" s="4" t="n"/>
      <c r="L69" s="4" t="n"/>
      <c r="M69" s="4" t="n"/>
      <c r="N69" s="6" t="n"/>
      <c r="O69" s="6" t="n"/>
      <c r="P69" s="14">
        <f>IF($B69="","",(E69="Clair")*'Critères et poids'!$G$5+(E69="Partiel")*'Critères et poids'!$G$5/2+(F69="Clair")*'Critères et poids'!$G$6+(F69="Partiel")*'Critères et poids'!$G$6/2+(G69="Clair")*'Critères et poids'!$G$7+(G69="Partiel")*'Critères et poids'!$G$7/2+(H69="Clair")*'Critères et poids'!$G$8+(H69="Partiel")*'Critères et poids'!$G$8/2)</f>
        <v/>
      </c>
      <c r="Q69" s="14">
        <f>IF($B69="","",(I69="Clair")*'Critères et poids'!$G$9+(I69="Partiel")*'Critères et poids'!$G$9/2+(J69="Clair")*'Critères et poids'!$G$10+(J69="Partiel")*'Critères et poids'!$G$10/2+(K69="Clair")*'Critères et poids'!$G$11+(K69="Partiel")*'Critères et poids'!$G$11/2+(L69="Clair")*'Critères et poids'!$G$12+(L69="Partiel")*'Critères et poids'!$G$12/2+(M69="Clair")*'Critères et poids'!$G$13+(M69="Partiel")*'Critères et poids'!$G$13/2)</f>
        <v/>
      </c>
      <c r="R69" s="14">
        <f>IF($B69="","",IFERROR(VLOOKUP(N69,'Critères et poids'!$B$17:$C$20,2,FALSE),0))</f>
        <v/>
      </c>
      <c r="S69" s="9">
        <f>IF($B69="","",MAX(0,P69+Q69+R69))</f>
        <v/>
      </c>
      <c r="T69" s="9">
        <f>IF($B69="","",IF(O69&lt;&gt;"","X",IF(S69&gt;='Critères et poids'!$C$29,"A",IF(S69&gt;='Critères et poids'!$C$30,"B","C"))))</f>
        <v/>
      </c>
      <c r="U69" s="14">
        <f>IF(T69="","",INDEX('Critères et poids'!$D$29:$D$32,MATCH(T69,'Critères et poids'!$A$29:$A$32,0)))</f>
        <v/>
      </c>
      <c r="V69" s="14">
        <f>IF(T69="","",INDEX('Critères et poids'!$F$29:$F$32,MATCH(T69,'Critères et poids'!$A$29:$A$32,0)))</f>
        <v/>
      </c>
      <c r="W69" s="15">
        <f>IF(OR(AH69="",AJ69=""),"",IF(AI69+AJ69*60&lt;=ROUND('Critères et poids'!$C$37*1440,0),INT(AH69)+(AI69+AJ69*60)/1440,WORKDAY(INT(AH69),1+INT((AI69+AJ69*60-ROUND('Critères et poids'!$C$37*1440,0)-1)/(ROUND('Critères et poids'!$C$37*1440,0)-ROUND('Critères et poids'!$C$36*1440,0))))+(ROUND('Critères et poids'!$C$36*1440,0)+AI69+AJ69*60-ROUND('Critères et poids'!$C$37*1440,0)-INT((AI69+AJ69*60-ROUND('Critères et poids'!$C$37*1440,0)-1)/(ROUND('Critères et poids'!$C$37*1440,0)-ROUND('Critères et poids'!$C$36*1440,0)))*(ROUND('Critères et poids'!$C$37*1440,0)-ROUND('Critères et poids'!$C$36*1440,0)))/1440))</f>
        <v/>
      </c>
      <c r="X69" s="16" t="n"/>
      <c r="Y69" s="14">
        <f>IF(W69="","",IF(X69="",IF(NOW()&gt;W69,"En retard","En attente"),IF(X69&lt;=W69,"À temps","En retard")))</f>
        <v/>
      </c>
      <c r="Z69" s="17" t="n"/>
      <c r="AA69" s="14">
        <f>IF($B69="","",IF(OR(T69="X",AD69&lt;&gt;""),0,MAX(0,MIN(Q69,'Critères et poids'!$C$38*INT((TODAY()-IF(Z69&lt;&gt;"",Z69,INT($A69)))/7)))))</f>
        <v/>
      </c>
      <c r="AB69" s="14">
        <f>IF($B69="","",MAX(0,S69-AA69))</f>
        <v/>
      </c>
      <c r="AC69" s="9">
        <f>IF($B69="","",IF(T69="X","X",IF(AB69&gt;='Critères et poids'!$C$29,"A",IF(AB69&gt;='Critères et poids'!$C$30,"B","C"))))</f>
        <v/>
      </c>
      <c r="AD69" s="4" t="n"/>
      <c r="AE69" s="18" t="n"/>
      <c r="AF69" s="6" t="n"/>
      <c r="AH69">
        <f>IF($A69="","",IF(OR(WEEKDAY($A69,2)&gt;5,ROUND(MOD($A69,1)*1440,0)&gt;=ROUND('Critères et poids'!$C$37*1440,0)),WORKDAY(INT($A69),1)+ROUND('Critères et poids'!$C$36*1440,0)/1440,IF(ROUND(MOD($A69,1)*1440,0)&lt;ROUND('Critères et poids'!$C$36*1440,0),INT($A69)+ROUND('Critères et poids'!$C$36*1440,0)/1440,$A69)))</f>
        <v/>
      </c>
      <c r="AI69">
        <f>IF(AH69="","",ROUND(MOD(AH69,1)*1440,0))</f>
        <v/>
      </c>
      <c r="AJ69">
        <f>IF(T69="","",INDEX('Critères et poids'!$E$29:$E$32,MATCH(T69,'Critères et poids'!$A$29:$A$32,0)))</f>
        <v/>
      </c>
    </row>
    <row r="70">
      <c r="A70" s="13" t="n"/>
      <c r="B70" s="6" t="n"/>
      <c r="C70" s="6" t="n"/>
      <c r="D70" s="4" t="n"/>
      <c r="E70" s="4" t="n"/>
      <c r="F70" s="4" t="n"/>
      <c r="G70" s="4" t="n"/>
      <c r="H70" s="4" t="n"/>
      <c r="I70" s="4" t="n"/>
      <c r="J70" s="4" t="n"/>
      <c r="K70" s="4" t="n"/>
      <c r="L70" s="4" t="n"/>
      <c r="M70" s="4" t="n"/>
      <c r="N70" s="6" t="n"/>
      <c r="O70" s="6" t="n"/>
      <c r="P70" s="14">
        <f>IF($B70="","",(E70="Clair")*'Critères et poids'!$G$5+(E70="Partiel")*'Critères et poids'!$G$5/2+(F70="Clair")*'Critères et poids'!$G$6+(F70="Partiel")*'Critères et poids'!$G$6/2+(G70="Clair")*'Critères et poids'!$G$7+(G70="Partiel")*'Critères et poids'!$G$7/2+(H70="Clair")*'Critères et poids'!$G$8+(H70="Partiel")*'Critères et poids'!$G$8/2)</f>
        <v/>
      </c>
      <c r="Q70" s="14">
        <f>IF($B70="","",(I70="Clair")*'Critères et poids'!$G$9+(I70="Partiel")*'Critères et poids'!$G$9/2+(J70="Clair")*'Critères et poids'!$G$10+(J70="Partiel")*'Critères et poids'!$G$10/2+(K70="Clair")*'Critères et poids'!$G$11+(K70="Partiel")*'Critères et poids'!$G$11/2+(L70="Clair")*'Critères et poids'!$G$12+(L70="Partiel")*'Critères et poids'!$G$12/2+(M70="Clair")*'Critères et poids'!$G$13+(M70="Partiel")*'Critères et poids'!$G$13/2)</f>
        <v/>
      </c>
      <c r="R70" s="14">
        <f>IF($B70="","",IFERROR(VLOOKUP(N70,'Critères et poids'!$B$17:$C$20,2,FALSE),0))</f>
        <v/>
      </c>
      <c r="S70" s="9">
        <f>IF($B70="","",MAX(0,P70+Q70+R70))</f>
        <v/>
      </c>
      <c r="T70" s="9">
        <f>IF($B70="","",IF(O70&lt;&gt;"","X",IF(S70&gt;='Critères et poids'!$C$29,"A",IF(S70&gt;='Critères et poids'!$C$30,"B","C"))))</f>
        <v/>
      </c>
      <c r="U70" s="14">
        <f>IF(T70="","",INDEX('Critères et poids'!$D$29:$D$32,MATCH(T70,'Critères et poids'!$A$29:$A$32,0)))</f>
        <v/>
      </c>
      <c r="V70" s="14">
        <f>IF(T70="","",INDEX('Critères et poids'!$F$29:$F$32,MATCH(T70,'Critères et poids'!$A$29:$A$32,0)))</f>
        <v/>
      </c>
      <c r="W70" s="15">
        <f>IF(OR(AH70="",AJ70=""),"",IF(AI70+AJ70*60&lt;=ROUND('Critères et poids'!$C$37*1440,0),INT(AH70)+(AI70+AJ70*60)/1440,WORKDAY(INT(AH70),1+INT((AI70+AJ70*60-ROUND('Critères et poids'!$C$37*1440,0)-1)/(ROUND('Critères et poids'!$C$37*1440,0)-ROUND('Critères et poids'!$C$36*1440,0))))+(ROUND('Critères et poids'!$C$36*1440,0)+AI70+AJ70*60-ROUND('Critères et poids'!$C$37*1440,0)-INT((AI70+AJ70*60-ROUND('Critères et poids'!$C$37*1440,0)-1)/(ROUND('Critères et poids'!$C$37*1440,0)-ROUND('Critères et poids'!$C$36*1440,0)))*(ROUND('Critères et poids'!$C$37*1440,0)-ROUND('Critères et poids'!$C$36*1440,0)))/1440))</f>
        <v/>
      </c>
      <c r="X70" s="16" t="n"/>
      <c r="Y70" s="14">
        <f>IF(W70="","",IF(X70="",IF(NOW()&gt;W70,"En retard","En attente"),IF(X70&lt;=W70,"À temps","En retard")))</f>
        <v/>
      </c>
      <c r="Z70" s="17" t="n"/>
      <c r="AA70" s="14">
        <f>IF($B70="","",IF(OR(T70="X",AD70&lt;&gt;""),0,MAX(0,MIN(Q70,'Critères et poids'!$C$38*INT((TODAY()-IF(Z70&lt;&gt;"",Z70,INT($A70)))/7)))))</f>
        <v/>
      </c>
      <c r="AB70" s="14">
        <f>IF($B70="","",MAX(0,S70-AA70))</f>
        <v/>
      </c>
      <c r="AC70" s="9">
        <f>IF($B70="","",IF(T70="X","X",IF(AB70&gt;='Critères et poids'!$C$29,"A",IF(AB70&gt;='Critères et poids'!$C$30,"B","C"))))</f>
        <v/>
      </c>
      <c r="AD70" s="4" t="n"/>
      <c r="AE70" s="18" t="n"/>
      <c r="AF70" s="6" t="n"/>
      <c r="AH70">
        <f>IF($A70="","",IF(OR(WEEKDAY($A70,2)&gt;5,ROUND(MOD($A70,1)*1440,0)&gt;=ROUND('Critères et poids'!$C$37*1440,0)),WORKDAY(INT($A70),1)+ROUND('Critères et poids'!$C$36*1440,0)/1440,IF(ROUND(MOD($A70,1)*1440,0)&lt;ROUND('Critères et poids'!$C$36*1440,0),INT($A70)+ROUND('Critères et poids'!$C$36*1440,0)/1440,$A70)))</f>
        <v/>
      </c>
      <c r="AI70">
        <f>IF(AH70="","",ROUND(MOD(AH70,1)*1440,0))</f>
        <v/>
      </c>
      <c r="AJ70">
        <f>IF(T70="","",INDEX('Critères et poids'!$E$29:$E$32,MATCH(T70,'Critères et poids'!$A$29:$A$32,0)))</f>
        <v/>
      </c>
    </row>
    <row r="71">
      <c r="A71" s="13" t="n"/>
      <c r="B71" s="6" t="n"/>
      <c r="C71" s="6" t="n"/>
      <c r="D71" s="4" t="n"/>
      <c r="E71" s="4" t="n"/>
      <c r="F71" s="4" t="n"/>
      <c r="G71" s="4" t="n"/>
      <c r="H71" s="4" t="n"/>
      <c r="I71" s="4" t="n"/>
      <c r="J71" s="4" t="n"/>
      <c r="K71" s="4" t="n"/>
      <c r="L71" s="4" t="n"/>
      <c r="M71" s="4" t="n"/>
      <c r="N71" s="6" t="n"/>
      <c r="O71" s="6" t="n"/>
      <c r="P71" s="14">
        <f>IF($B71="","",(E71="Clair")*'Critères et poids'!$G$5+(E71="Partiel")*'Critères et poids'!$G$5/2+(F71="Clair")*'Critères et poids'!$G$6+(F71="Partiel")*'Critères et poids'!$G$6/2+(G71="Clair")*'Critères et poids'!$G$7+(G71="Partiel")*'Critères et poids'!$G$7/2+(H71="Clair")*'Critères et poids'!$G$8+(H71="Partiel")*'Critères et poids'!$G$8/2)</f>
        <v/>
      </c>
      <c r="Q71" s="14">
        <f>IF($B71="","",(I71="Clair")*'Critères et poids'!$G$9+(I71="Partiel")*'Critères et poids'!$G$9/2+(J71="Clair")*'Critères et poids'!$G$10+(J71="Partiel")*'Critères et poids'!$G$10/2+(K71="Clair")*'Critères et poids'!$G$11+(K71="Partiel")*'Critères et poids'!$G$11/2+(L71="Clair")*'Critères et poids'!$G$12+(L71="Partiel")*'Critères et poids'!$G$12/2+(M71="Clair")*'Critères et poids'!$G$13+(M71="Partiel")*'Critères et poids'!$G$13/2)</f>
        <v/>
      </c>
      <c r="R71" s="14">
        <f>IF($B71="","",IFERROR(VLOOKUP(N71,'Critères et poids'!$B$17:$C$20,2,FALSE),0))</f>
        <v/>
      </c>
      <c r="S71" s="9">
        <f>IF($B71="","",MAX(0,P71+Q71+R71))</f>
        <v/>
      </c>
      <c r="T71" s="9">
        <f>IF($B71="","",IF(O71&lt;&gt;"","X",IF(S71&gt;='Critères et poids'!$C$29,"A",IF(S71&gt;='Critères et poids'!$C$30,"B","C"))))</f>
        <v/>
      </c>
      <c r="U71" s="14">
        <f>IF(T71="","",INDEX('Critères et poids'!$D$29:$D$32,MATCH(T71,'Critères et poids'!$A$29:$A$32,0)))</f>
        <v/>
      </c>
      <c r="V71" s="14">
        <f>IF(T71="","",INDEX('Critères et poids'!$F$29:$F$32,MATCH(T71,'Critères et poids'!$A$29:$A$32,0)))</f>
        <v/>
      </c>
      <c r="W71" s="15">
        <f>IF(OR(AH71="",AJ71=""),"",IF(AI71+AJ71*60&lt;=ROUND('Critères et poids'!$C$37*1440,0),INT(AH71)+(AI71+AJ71*60)/1440,WORKDAY(INT(AH71),1+INT((AI71+AJ71*60-ROUND('Critères et poids'!$C$37*1440,0)-1)/(ROUND('Critères et poids'!$C$37*1440,0)-ROUND('Critères et poids'!$C$36*1440,0))))+(ROUND('Critères et poids'!$C$36*1440,0)+AI71+AJ71*60-ROUND('Critères et poids'!$C$37*1440,0)-INT((AI71+AJ71*60-ROUND('Critères et poids'!$C$37*1440,0)-1)/(ROUND('Critères et poids'!$C$37*1440,0)-ROUND('Critères et poids'!$C$36*1440,0)))*(ROUND('Critères et poids'!$C$37*1440,0)-ROUND('Critères et poids'!$C$36*1440,0)))/1440))</f>
        <v/>
      </c>
      <c r="X71" s="16" t="n"/>
      <c r="Y71" s="14">
        <f>IF(W71="","",IF(X71="",IF(NOW()&gt;W71,"En retard","En attente"),IF(X71&lt;=W71,"À temps","En retard")))</f>
        <v/>
      </c>
      <c r="Z71" s="17" t="n"/>
      <c r="AA71" s="14">
        <f>IF($B71="","",IF(OR(T71="X",AD71&lt;&gt;""),0,MAX(0,MIN(Q71,'Critères et poids'!$C$38*INT((TODAY()-IF(Z71&lt;&gt;"",Z71,INT($A71)))/7)))))</f>
        <v/>
      </c>
      <c r="AB71" s="14">
        <f>IF($B71="","",MAX(0,S71-AA71))</f>
        <v/>
      </c>
      <c r="AC71" s="9">
        <f>IF($B71="","",IF(T71="X","X",IF(AB71&gt;='Critères et poids'!$C$29,"A",IF(AB71&gt;='Critères et poids'!$C$30,"B","C"))))</f>
        <v/>
      </c>
      <c r="AD71" s="4" t="n"/>
      <c r="AE71" s="18" t="n"/>
      <c r="AF71" s="6" t="n"/>
      <c r="AH71">
        <f>IF($A71="","",IF(OR(WEEKDAY($A71,2)&gt;5,ROUND(MOD($A71,1)*1440,0)&gt;=ROUND('Critères et poids'!$C$37*1440,0)),WORKDAY(INT($A71),1)+ROUND('Critères et poids'!$C$36*1440,0)/1440,IF(ROUND(MOD($A71,1)*1440,0)&lt;ROUND('Critères et poids'!$C$36*1440,0),INT($A71)+ROUND('Critères et poids'!$C$36*1440,0)/1440,$A71)))</f>
        <v/>
      </c>
      <c r="AI71">
        <f>IF(AH71="","",ROUND(MOD(AH71,1)*1440,0))</f>
        <v/>
      </c>
      <c r="AJ71">
        <f>IF(T71="","",INDEX('Critères et poids'!$E$29:$E$32,MATCH(T71,'Critères et poids'!$A$29:$A$32,0)))</f>
        <v/>
      </c>
    </row>
    <row r="72">
      <c r="A72" s="13" t="n"/>
      <c r="B72" s="6" t="n"/>
      <c r="C72" s="6" t="n"/>
      <c r="D72" s="4" t="n"/>
      <c r="E72" s="4" t="n"/>
      <c r="F72" s="4" t="n"/>
      <c r="G72" s="4" t="n"/>
      <c r="H72" s="4" t="n"/>
      <c r="I72" s="4" t="n"/>
      <c r="J72" s="4" t="n"/>
      <c r="K72" s="4" t="n"/>
      <c r="L72" s="4" t="n"/>
      <c r="M72" s="4" t="n"/>
      <c r="N72" s="6" t="n"/>
      <c r="O72" s="6" t="n"/>
      <c r="P72" s="14">
        <f>IF($B72="","",(E72="Clair")*'Critères et poids'!$G$5+(E72="Partiel")*'Critères et poids'!$G$5/2+(F72="Clair")*'Critères et poids'!$G$6+(F72="Partiel")*'Critères et poids'!$G$6/2+(G72="Clair")*'Critères et poids'!$G$7+(G72="Partiel")*'Critères et poids'!$G$7/2+(H72="Clair")*'Critères et poids'!$G$8+(H72="Partiel")*'Critères et poids'!$G$8/2)</f>
        <v/>
      </c>
      <c r="Q72" s="14">
        <f>IF($B72="","",(I72="Clair")*'Critères et poids'!$G$9+(I72="Partiel")*'Critères et poids'!$G$9/2+(J72="Clair")*'Critères et poids'!$G$10+(J72="Partiel")*'Critères et poids'!$G$10/2+(K72="Clair")*'Critères et poids'!$G$11+(K72="Partiel")*'Critères et poids'!$G$11/2+(L72="Clair")*'Critères et poids'!$G$12+(L72="Partiel")*'Critères et poids'!$G$12/2+(M72="Clair")*'Critères et poids'!$G$13+(M72="Partiel")*'Critères et poids'!$G$13/2)</f>
        <v/>
      </c>
      <c r="R72" s="14">
        <f>IF($B72="","",IFERROR(VLOOKUP(N72,'Critères et poids'!$B$17:$C$20,2,FALSE),0))</f>
        <v/>
      </c>
      <c r="S72" s="9">
        <f>IF($B72="","",MAX(0,P72+Q72+R72))</f>
        <v/>
      </c>
      <c r="T72" s="9">
        <f>IF($B72="","",IF(O72&lt;&gt;"","X",IF(S72&gt;='Critères et poids'!$C$29,"A",IF(S72&gt;='Critères et poids'!$C$30,"B","C"))))</f>
        <v/>
      </c>
      <c r="U72" s="14">
        <f>IF(T72="","",INDEX('Critères et poids'!$D$29:$D$32,MATCH(T72,'Critères et poids'!$A$29:$A$32,0)))</f>
        <v/>
      </c>
      <c r="V72" s="14">
        <f>IF(T72="","",INDEX('Critères et poids'!$F$29:$F$32,MATCH(T72,'Critères et poids'!$A$29:$A$32,0)))</f>
        <v/>
      </c>
      <c r="W72" s="15">
        <f>IF(OR(AH72="",AJ72=""),"",IF(AI72+AJ72*60&lt;=ROUND('Critères et poids'!$C$37*1440,0),INT(AH72)+(AI72+AJ72*60)/1440,WORKDAY(INT(AH72),1+INT((AI72+AJ72*60-ROUND('Critères et poids'!$C$37*1440,0)-1)/(ROUND('Critères et poids'!$C$37*1440,0)-ROUND('Critères et poids'!$C$36*1440,0))))+(ROUND('Critères et poids'!$C$36*1440,0)+AI72+AJ72*60-ROUND('Critères et poids'!$C$37*1440,0)-INT((AI72+AJ72*60-ROUND('Critères et poids'!$C$37*1440,0)-1)/(ROUND('Critères et poids'!$C$37*1440,0)-ROUND('Critères et poids'!$C$36*1440,0)))*(ROUND('Critères et poids'!$C$37*1440,0)-ROUND('Critères et poids'!$C$36*1440,0)))/1440))</f>
        <v/>
      </c>
      <c r="X72" s="16" t="n"/>
      <c r="Y72" s="14">
        <f>IF(W72="","",IF(X72="",IF(NOW()&gt;W72,"En retard","En attente"),IF(X72&lt;=W72,"À temps","En retard")))</f>
        <v/>
      </c>
      <c r="Z72" s="17" t="n"/>
      <c r="AA72" s="14">
        <f>IF($B72="","",IF(OR(T72="X",AD72&lt;&gt;""),0,MAX(0,MIN(Q72,'Critères et poids'!$C$38*INT((TODAY()-IF(Z72&lt;&gt;"",Z72,INT($A72)))/7)))))</f>
        <v/>
      </c>
      <c r="AB72" s="14">
        <f>IF($B72="","",MAX(0,S72-AA72))</f>
        <v/>
      </c>
      <c r="AC72" s="9">
        <f>IF($B72="","",IF(T72="X","X",IF(AB72&gt;='Critères et poids'!$C$29,"A",IF(AB72&gt;='Critères et poids'!$C$30,"B","C"))))</f>
        <v/>
      </c>
      <c r="AD72" s="4" t="n"/>
      <c r="AE72" s="18" t="n"/>
      <c r="AF72" s="6" t="n"/>
      <c r="AH72">
        <f>IF($A72="","",IF(OR(WEEKDAY($A72,2)&gt;5,ROUND(MOD($A72,1)*1440,0)&gt;=ROUND('Critères et poids'!$C$37*1440,0)),WORKDAY(INT($A72),1)+ROUND('Critères et poids'!$C$36*1440,0)/1440,IF(ROUND(MOD($A72,1)*1440,0)&lt;ROUND('Critères et poids'!$C$36*1440,0),INT($A72)+ROUND('Critères et poids'!$C$36*1440,0)/1440,$A72)))</f>
        <v/>
      </c>
      <c r="AI72">
        <f>IF(AH72="","",ROUND(MOD(AH72,1)*1440,0))</f>
        <v/>
      </c>
      <c r="AJ72">
        <f>IF(T72="","",INDEX('Critères et poids'!$E$29:$E$32,MATCH(T72,'Critères et poids'!$A$29:$A$32,0)))</f>
        <v/>
      </c>
    </row>
    <row r="73">
      <c r="A73" s="13" t="n"/>
      <c r="B73" s="6" t="n"/>
      <c r="C73" s="6" t="n"/>
      <c r="D73" s="4" t="n"/>
      <c r="E73" s="4" t="n"/>
      <c r="F73" s="4" t="n"/>
      <c r="G73" s="4" t="n"/>
      <c r="H73" s="4" t="n"/>
      <c r="I73" s="4" t="n"/>
      <c r="J73" s="4" t="n"/>
      <c r="K73" s="4" t="n"/>
      <c r="L73" s="4" t="n"/>
      <c r="M73" s="4" t="n"/>
      <c r="N73" s="6" t="n"/>
      <c r="O73" s="6" t="n"/>
      <c r="P73" s="14">
        <f>IF($B73="","",(E73="Clair")*'Critères et poids'!$G$5+(E73="Partiel")*'Critères et poids'!$G$5/2+(F73="Clair")*'Critères et poids'!$G$6+(F73="Partiel")*'Critères et poids'!$G$6/2+(G73="Clair")*'Critères et poids'!$G$7+(G73="Partiel")*'Critères et poids'!$G$7/2+(H73="Clair")*'Critères et poids'!$G$8+(H73="Partiel")*'Critères et poids'!$G$8/2)</f>
        <v/>
      </c>
      <c r="Q73" s="14">
        <f>IF($B73="","",(I73="Clair")*'Critères et poids'!$G$9+(I73="Partiel")*'Critères et poids'!$G$9/2+(J73="Clair")*'Critères et poids'!$G$10+(J73="Partiel")*'Critères et poids'!$G$10/2+(K73="Clair")*'Critères et poids'!$G$11+(K73="Partiel")*'Critères et poids'!$G$11/2+(L73="Clair")*'Critères et poids'!$G$12+(L73="Partiel")*'Critères et poids'!$G$12/2+(M73="Clair")*'Critères et poids'!$G$13+(M73="Partiel")*'Critères et poids'!$G$13/2)</f>
        <v/>
      </c>
      <c r="R73" s="14">
        <f>IF($B73="","",IFERROR(VLOOKUP(N73,'Critères et poids'!$B$17:$C$20,2,FALSE),0))</f>
        <v/>
      </c>
      <c r="S73" s="9">
        <f>IF($B73="","",MAX(0,P73+Q73+R73))</f>
        <v/>
      </c>
      <c r="T73" s="9">
        <f>IF($B73="","",IF(O73&lt;&gt;"","X",IF(S73&gt;='Critères et poids'!$C$29,"A",IF(S73&gt;='Critères et poids'!$C$30,"B","C"))))</f>
        <v/>
      </c>
      <c r="U73" s="14">
        <f>IF(T73="","",INDEX('Critères et poids'!$D$29:$D$32,MATCH(T73,'Critères et poids'!$A$29:$A$32,0)))</f>
        <v/>
      </c>
      <c r="V73" s="14">
        <f>IF(T73="","",INDEX('Critères et poids'!$F$29:$F$32,MATCH(T73,'Critères et poids'!$A$29:$A$32,0)))</f>
        <v/>
      </c>
      <c r="W73" s="15">
        <f>IF(OR(AH73="",AJ73=""),"",IF(AI73+AJ73*60&lt;=ROUND('Critères et poids'!$C$37*1440,0),INT(AH73)+(AI73+AJ73*60)/1440,WORKDAY(INT(AH73),1+INT((AI73+AJ73*60-ROUND('Critères et poids'!$C$37*1440,0)-1)/(ROUND('Critères et poids'!$C$37*1440,0)-ROUND('Critères et poids'!$C$36*1440,0))))+(ROUND('Critères et poids'!$C$36*1440,0)+AI73+AJ73*60-ROUND('Critères et poids'!$C$37*1440,0)-INT((AI73+AJ73*60-ROUND('Critères et poids'!$C$37*1440,0)-1)/(ROUND('Critères et poids'!$C$37*1440,0)-ROUND('Critères et poids'!$C$36*1440,0)))*(ROUND('Critères et poids'!$C$37*1440,0)-ROUND('Critères et poids'!$C$36*1440,0)))/1440))</f>
        <v/>
      </c>
      <c r="X73" s="16" t="n"/>
      <c r="Y73" s="14">
        <f>IF(W73="","",IF(X73="",IF(NOW()&gt;W73,"En retard","En attente"),IF(X73&lt;=W73,"À temps","En retard")))</f>
        <v/>
      </c>
      <c r="Z73" s="17" t="n"/>
      <c r="AA73" s="14">
        <f>IF($B73="","",IF(OR(T73="X",AD73&lt;&gt;""),0,MAX(0,MIN(Q73,'Critères et poids'!$C$38*INT((TODAY()-IF(Z73&lt;&gt;"",Z73,INT($A73)))/7)))))</f>
        <v/>
      </c>
      <c r="AB73" s="14">
        <f>IF($B73="","",MAX(0,S73-AA73))</f>
        <v/>
      </c>
      <c r="AC73" s="9">
        <f>IF($B73="","",IF(T73="X","X",IF(AB73&gt;='Critères et poids'!$C$29,"A",IF(AB73&gt;='Critères et poids'!$C$30,"B","C"))))</f>
        <v/>
      </c>
      <c r="AD73" s="4" t="n"/>
      <c r="AE73" s="18" t="n"/>
      <c r="AF73" s="6" t="n"/>
      <c r="AH73">
        <f>IF($A73="","",IF(OR(WEEKDAY($A73,2)&gt;5,ROUND(MOD($A73,1)*1440,0)&gt;=ROUND('Critères et poids'!$C$37*1440,0)),WORKDAY(INT($A73),1)+ROUND('Critères et poids'!$C$36*1440,0)/1440,IF(ROUND(MOD($A73,1)*1440,0)&lt;ROUND('Critères et poids'!$C$36*1440,0),INT($A73)+ROUND('Critères et poids'!$C$36*1440,0)/1440,$A73)))</f>
        <v/>
      </c>
      <c r="AI73">
        <f>IF(AH73="","",ROUND(MOD(AH73,1)*1440,0))</f>
        <v/>
      </c>
      <c r="AJ73">
        <f>IF(T73="","",INDEX('Critères et poids'!$E$29:$E$32,MATCH(T73,'Critères et poids'!$A$29:$A$32,0)))</f>
        <v/>
      </c>
    </row>
    <row r="74">
      <c r="A74" s="13" t="n"/>
      <c r="B74" s="6" t="n"/>
      <c r="C74" s="6" t="n"/>
      <c r="D74" s="4" t="n"/>
      <c r="E74" s="4" t="n"/>
      <c r="F74" s="4" t="n"/>
      <c r="G74" s="4" t="n"/>
      <c r="H74" s="4" t="n"/>
      <c r="I74" s="4" t="n"/>
      <c r="J74" s="4" t="n"/>
      <c r="K74" s="4" t="n"/>
      <c r="L74" s="4" t="n"/>
      <c r="M74" s="4" t="n"/>
      <c r="N74" s="6" t="n"/>
      <c r="O74" s="6" t="n"/>
      <c r="P74" s="14">
        <f>IF($B74="","",(E74="Clair")*'Critères et poids'!$G$5+(E74="Partiel")*'Critères et poids'!$G$5/2+(F74="Clair")*'Critères et poids'!$G$6+(F74="Partiel")*'Critères et poids'!$G$6/2+(G74="Clair")*'Critères et poids'!$G$7+(G74="Partiel")*'Critères et poids'!$G$7/2+(H74="Clair")*'Critères et poids'!$G$8+(H74="Partiel")*'Critères et poids'!$G$8/2)</f>
        <v/>
      </c>
      <c r="Q74" s="14">
        <f>IF($B74="","",(I74="Clair")*'Critères et poids'!$G$9+(I74="Partiel")*'Critères et poids'!$G$9/2+(J74="Clair")*'Critères et poids'!$G$10+(J74="Partiel")*'Critères et poids'!$G$10/2+(K74="Clair")*'Critères et poids'!$G$11+(K74="Partiel")*'Critères et poids'!$G$11/2+(L74="Clair")*'Critères et poids'!$G$12+(L74="Partiel")*'Critères et poids'!$G$12/2+(M74="Clair")*'Critères et poids'!$G$13+(M74="Partiel")*'Critères et poids'!$G$13/2)</f>
        <v/>
      </c>
      <c r="R74" s="14">
        <f>IF($B74="","",IFERROR(VLOOKUP(N74,'Critères et poids'!$B$17:$C$20,2,FALSE),0))</f>
        <v/>
      </c>
      <c r="S74" s="9">
        <f>IF($B74="","",MAX(0,P74+Q74+R74))</f>
        <v/>
      </c>
      <c r="T74" s="9">
        <f>IF($B74="","",IF(O74&lt;&gt;"","X",IF(S74&gt;='Critères et poids'!$C$29,"A",IF(S74&gt;='Critères et poids'!$C$30,"B","C"))))</f>
        <v/>
      </c>
      <c r="U74" s="14">
        <f>IF(T74="","",INDEX('Critères et poids'!$D$29:$D$32,MATCH(T74,'Critères et poids'!$A$29:$A$32,0)))</f>
        <v/>
      </c>
      <c r="V74" s="14">
        <f>IF(T74="","",INDEX('Critères et poids'!$F$29:$F$32,MATCH(T74,'Critères et poids'!$A$29:$A$32,0)))</f>
        <v/>
      </c>
      <c r="W74" s="15">
        <f>IF(OR(AH74="",AJ74=""),"",IF(AI74+AJ74*60&lt;=ROUND('Critères et poids'!$C$37*1440,0),INT(AH74)+(AI74+AJ74*60)/1440,WORKDAY(INT(AH74),1+INT((AI74+AJ74*60-ROUND('Critères et poids'!$C$37*1440,0)-1)/(ROUND('Critères et poids'!$C$37*1440,0)-ROUND('Critères et poids'!$C$36*1440,0))))+(ROUND('Critères et poids'!$C$36*1440,0)+AI74+AJ74*60-ROUND('Critères et poids'!$C$37*1440,0)-INT((AI74+AJ74*60-ROUND('Critères et poids'!$C$37*1440,0)-1)/(ROUND('Critères et poids'!$C$37*1440,0)-ROUND('Critères et poids'!$C$36*1440,0)))*(ROUND('Critères et poids'!$C$37*1440,0)-ROUND('Critères et poids'!$C$36*1440,0)))/1440))</f>
        <v/>
      </c>
      <c r="X74" s="16" t="n"/>
      <c r="Y74" s="14">
        <f>IF(W74="","",IF(X74="",IF(NOW()&gt;W74,"En retard","En attente"),IF(X74&lt;=W74,"À temps","En retard")))</f>
        <v/>
      </c>
      <c r="Z74" s="17" t="n"/>
      <c r="AA74" s="14">
        <f>IF($B74="","",IF(OR(T74="X",AD74&lt;&gt;""),0,MAX(0,MIN(Q74,'Critères et poids'!$C$38*INT((TODAY()-IF(Z74&lt;&gt;"",Z74,INT($A74)))/7)))))</f>
        <v/>
      </c>
      <c r="AB74" s="14">
        <f>IF($B74="","",MAX(0,S74-AA74))</f>
        <v/>
      </c>
      <c r="AC74" s="9">
        <f>IF($B74="","",IF(T74="X","X",IF(AB74&gt;='Critères et poids'!$C$29,"A",IF(AB74&gt;='Critères et poids'!$C$30,"B","C"))))</f>
        <v/>
      </c>
      <c r="AD74" s="4" t="n"/>
      <c r="AE74" s="18" t="n"/>
      <c r="AF74" s="6" t="n"/>
      <c r="AH74">
        <f>IF($A74="","",IF(OR(WEEKDAY($A74,2)&gt;5,ROUND(MOD($A74,1)*1440,0)&gt;=ROUND('Critères et poids'!$C$37*1440,0)),WORKDAY(INT($A74),1)+ROUND('Critères et poids'!$C$36*1440,0)/1440,IF(ROUND(MOD($A74,1)*1440,0)&lt;ROUND('Critères et poids'!$C$36*1440,0),INT($A74)+ROUND('Critères et poids'!$C$36*1440,0)/1440,$A74)))</f>
        <v/>
      </c>
      <c r="AI74">
        <f>IF(AH74="","",ROUND(MOD(AH74,1)*1440,0))</f>
        <v/>
      </c>
      <c r="AJ74">
        <f>IF(T74="","",INDEX('Critères et poids'!$E$29:$E$32,MATCH(T74,'Critères et poids'!$A$29:$A$32,0)))</f>
        <v/>
      </c>
    </row>
    <row r="75">
      <c r="A75" s="13" t="n"/>
      <c r="B75" s="6" t="n"/>
      <c r="C75" s="6" t="n"/>
      <c r="D75" s="4" t="n"/>
      <c r="E75" s="4" t="n"/>
      <c r="F75" s="4" t="n"/>
      <c r="G75" s="4" t="n"/>
      <c r="H75" s="4" t="n"/>
      <c r="I75" s="4" t="n"/>
      <c r="J75" s="4" t="n"/>
      <c r="K75" s="4" t="n"/>
      <c r="L75" s="4" t="n"/>
      <c r="M75" s="4" t="n"/>
      <c r="N75" s="6" t="n"/>
      <c r="O75" s="6" t="n"/>
      <c r="P75" s="14">
        <f>IF($B75="","",(E75="Clair")*'Critères et poids'!$G$5+(E75="Partiel")*'Critères et poids'!$G$5/2+(F75="Clair")*'Critères et poids'!$G$6+(F75="Partiel")*'Critères et poids'!$G$6/2+(G75="Clair")*'Critères et poids'!$G$7+(G75="Partiel")*'Critères et poids'!$G$7/2+(H75="Clair")*'Critères et poids'!$G$8+(H75="Partiel")*'Critères et poids'!$G$8/2)</f>
        <v/>
      </c>
      <c r="Q75" s="14">
        <f>IF($B75="","",(I75="Clair")*'Critères et poids'!$G$9+(I75="Partiel")*'Critères et poids'!$G$9/2+(J75="Clair")*'Critères et poids'!$G$10+(J75="Partiel")*'Critères et poids'!$G$10/2+(K75="Clair")*'Critères et poids'!$G$11+(K75="Partiel")*'Critères et poids'!$G$11/2+(L75="Clair")*'Critères et poids'!$G$12+(L75="Partiel")*'Critères et poids'!$G$12/2+(M75="Clair")*'Critères et poids'!$G$13+(M75="Partiel")*'Critères et poids'!$G$13/2)</f>
        <v/>
      </c>
      <c r="R75" s="14">
        <f>IF($B75="","",IFERROR(VLOOKUP(N75,'Critères et poids'!$B$17:$C$20,2,FALSE),0))</f>
        <v/>
      </c>
      <c r="S75" s="9">
        <f>IF($B75="","",MAX(0,P75+Q75+R75))</f>
        <v/>
      </c>
      <c r="T75" s="9">
        <f>IF($B75="","",IF(O75&lt;&gt;"","X",IF(S75&gt;='Critères et poids'!$C$29,"A",IF(S75&gt;='Critères et poids'!$C$30,"B","C"))))</f>
        <v/>
      </c>
      <c r="U75" s="14">
        <f>IF(T75="","",INDEX('Critères et poids'!$D$29:$D$32,MATCH(T75,'Critères et poids'!$A$29:$A$32,0)))</f>
        <v/>
      </c>
      <c r="V75" s="14">
        <f>IF(T75="","",INDEX('Critères et poids'!$F$29:$F$32,MATCH(T75,'Critères et poids'!$A$29:$A$32,0)))</f>
        <v/>
      </c>
      <c r="W75" s="15">
        <f>IF(OR(AH75="",AJ75=""),"",IF(AI75+AJ75*60&lt;=ROUND('Critères et poids'!$C$37*1440,0),INT(AH75)+(AI75+AJ75*60)/1440,WORKDAY(INT(AH75),1+INT((AI75+AJ75*60-ROUND('Critères et poids'!$C$37*1440,0)-1)/(ROUND('Critères et poids'!$C$37*1440,0)-ROUND('Critères et poids'!$C$36*1440,0))))+(ROUND('Critères et poids'!$C$36*1440,0)+AI75+AJ75*60-ROUND('Critères et poids'!$C$37*1440,0)-INT((AI75+AJ75*60-ROUND('Critères et poids'!$C$37*1440,0)-1)/(ROUND('Critères et poids'!$C$37*1440,0)-ROUND('Critères et poids'!$C$36*1440,0)))*(ROUND('Critères et poids'!$C$37*1440,0)-ROUND('Critères et poids'!$C$36*1440,0)))/1440))</f>
        <v/>
      </c>
      <c r="X75" s="16" t="n"/>
      <c r="Y75" s="14">
        <f>IF(W75="","",IF(X75="",IF(NOW()&gt;W75,"En retard","En attente"),IF(X75&lt;=W75,"À temps","En retard")))</f>
        <v/>
      </c>
      <c r="Z75" s="17" t="n"/>
      <c r="AA75" s="14">
        <f>IF($B75="","",IF(OR(T75="X",AD75&lt;&gt;""),0,MAX(0,MIN(Q75,'Critères et poids'!$C$38*INT((TODAY()-IF(Z75&lt;&gt;"",Z75,INT($A75)))/7)))))</f>
        <v/>
      </c>
      <c r="AB75" s="14">
        <f>IF($B75="","",MAX(0,S75-AA75))</f>
        <v/>
      </c>
      <c r="AC75" s="9">
        <f>IF($B75="","",IF(T75="X","X",IF(AB75&gt;='Critères et poids'!$C$29,"A",IF(AB75&gt;='Critères et poids'!$C$30,"B","C"))))</f>
        <v/>
      </c>
      <c r="AD75" s="4" t="n"/>
      <c r="AE75" s="18" t="n"/>
      <c r="AF75" s="6" t="n"/>
      <c r="AH75">
        <f>IF($A75="","",IF(OR(WEEKDAY($A75,2)&gt;5,ROUND(MOD($A75,1)*1440,0)&gt;=ROUND('Critères et poids'!$C$37*1440,0)),WORKDAY(INT($A75),1)+ROUND('Critères et poids'!$C$36*1440,0)/1440,IF(ROUND(MOD($A75,1)*1440,0)&lt;ROUND('Critères et poids'!$C$36*1440,0),INT($A75)+ROUND('Critères et poids'!$C$36*1440,0)/1440,$A75)))</f>
        <v/>
      </c>
      <c r="AI75">
        <f>IF(AH75="","",ROUND(MOD(AH75,1)*1440,0))</f>
        <v/>
      </c>
      <c r="AJ75">
        <f>IF(T75="","",INDEX('Critères et poids'!$E$29:$E$32,MATCH(T75,'Critères et poids'!$A$29:$A$32,0)))</f>
        <v/>
      </c>
    </row>
    <row r="76">
      <c r="A76" s="13" t="n"/>
      <c r="B76" s="6" t="n"/>
      <c r="C76" s="6" t="n"/>
      <c r="D76" s="4" t="n"/>
      <c r="E76" s="4" t="n"/>
      <c r="F76" s="4" t="n"/>
      <c r="G76" s="4" t="n"/>
      <c r="H76" s="4" t="n"/>
      <c r="I76" s="4" t="n"/>
      <c r="J76" s="4" t="n"/>
      <c r="K76" s="4" t="n"/>
      <c r="L76" s="4" t="n"/>
      <c r="M76" s="4" t="n"/>
      <c r="N76" s="6" t="n"/>
      <c r="O76" s="6" t="n"/>
      <c r="P76" s="14">
        <f>IF($B76="","",(E76="Clair")*'Critères et poids'!$G$5+(E76="Partiel")*'Critères et poids'!$G$5/2+(F76="Clair")*'Critères et poids'!$G$6+(F76="Partiel")*'Critères et poids'!$G$6/2+(G76="Clair")*'Critères et poids'!$G$7+(G76="Partiel")*'Critères et poids'!$G$7/2+(H76="Clair")*'Critères et poids'!$G$8+(H76="Partiel")*'Critères et poids'!$G$8/2)</f>
        <v/>
      </c>
      <c r="Q76" s="14">
        <f>IF($B76="","",(I76="Clair")*'Critères et poids'!$G$9+(I76="Partiel")*'Critères et poids'!$G$9/2+(J76="Clair")*'Critères et poids'!$G$10+(J76="Partiel")*'Critères et poids'!$G$10/2+(K76="Clair")*'Critères et poids'!$G$11+(K76="Partiel")*'Critères et poids'!$G$11/2+(L76="Clair")*'Critères et poids'!$G$12+(L76="Partiel")*'Critères et poids'!$G$12/2+(M76="Clair")*'Critères et poids'!$G$13+(M76="Partiel")*'Critères et poids'!$G$13/2)</f>
        <v/>
      </c>
      <c r="R76" s="14">
        <f>IF($B76="","",IFERROR(VLOOKUP(N76,'Critères et poids'!$B$17:$C$20,2,FALSE),0))</f>
        <v/>
      </c>
      <c r="S76" s="9">
        <f>IF($B76="","",MAX(0,P76+Q76+R76))</f>
        <v/>
      </c>
      <c r="T76" s="9">
        <f>IF($B76="","",IF(O76&lt;&gt;"","X",IF(S76&gt;='Critères et poids'!$C$29,"A",IF(S76&gt;='Critères et poids'!$C$30,"B","C"))))</f>
        <v/>
      </c>
      <c r="U76" s="14">
        <f>IF(T76="","",INDEX('Critères et poids'!$D$29:$D$32,MATCH(T76,'Critères et poids'!$A$29:$A$32,0)))</f>
        <v/>
      </c>
      <c r="V76" s="14">
        <f>IF(T76="","",INDEX('Critères et poids'!$F$29:$F$32,MATCH(T76,'Critères et poids'!$A$29:$A$32,0)))</f>
        <v/>
      </c>
      <c r="W76" s="15">
        <f>IF(OR(AH76="",AJ76=""),"",IF(AI76+AJ76*60&lt;=ROUND('Critères et poids'!$C$37*1440,0),INT(AH76)+(AI76+AJ76*60)/1440,WORKDAY(INT(AH76),1+INT((AI76+AJ76*60-ROUND('Critères et poids'!$C$37*1440,0)-1)/(ROUND('Critères et poids'!$C$37*1440,0)-ROUND('Critères et poids'!$C$36*1440,0))))+(ROUND('Critères et poids'!$C$36*1440,0)+AI76+AJ76*60-ROUND('Critères et poids'!$C$37*1440,0)-INT((AI76+AJ76*60-ROUND('Critères et poids'!$C$37*1440,0)-1)/(ROUND('Critères et poids'!$C$37*1440,0)-ROUND('Critères et poids'!$C$36*1440,0)))*(ROUND('Critères et poids'!$C$37*1440,0)-ROUND('Critères et poids'!$C$36*1440,0)))/1440))</f>
        <v/>
      </c>
      <c r="X76" s="16" t="n"/>
      <c r="Y76" s="14">
        <f>IF(W76="","",IF(X76="",IF(NOW()&gt;W76,"En retard","En attente"),IF(X76&lt;=W76,"À temps","En retard")))</f>
        <v/>
      </c>
      <c r="Z76" s="17" t="n"/>
      <c r="AA76" s="14">
        <f>IF($B76="","",IF(OR(T76="X",AD76&lt;&gt;""),0,MAX(0,MIN(Q76,'Critères et poids'!$C$38*INT((TODAY()-IF(Z76&lt;&gt;"",Z76,INT($A76)))/7)))))</f>
        <v/>
      </c>
      <c r="AB76" s="14">
        <f>IF($B76="","",MAX(0,S76-AA76))</f>
        <v/>
      </c>
      <c r="AC76" s="9">
        <f>IF($B76="","",IF(T76="X","X",IF(AB76&gt;='Critères et poids'!$C$29,"A",IF(AB76&gt;='Critères et poids'!$C$30,"B","C"))))</f>
        <v/>
      </c>
      <c r="AD76" s="4" t="n"/>
      <c r="AE76" s="18" t="n"/>
      <c r="AF76" s="6" t="n"/>
      <c r="AH76">
        <f>IF($A76="","",IF(OR(WEEKDAY($A76,2)&gt;5,ROUND(MOD($A76,1)*1440,0)&gt;=ROUND('Critères et poids'!$C$37*1440,0)),WORKDAY(INT($A76),1)+ROUND('Critères et poids'!$C$36*1440,0)/1440,IF(ROUND(MOD($A76,1)*1440,0)&lt;ROUND('Critères et poids'!$C$36*1440,0),INT($A76)+ROUND('Critères et poids'!$C$36*1440,0)/1440,$A76)))</f>
        <v/>
      </c>
      <c r="AI76">
        <f>IF(AH76="","",ROUND(MOD(AH76,1)*1440,0))</f>
        <v/>
      </c>
      <c r="AJ76">
        <f>IF(T76="","",INDEX('Critères et poids'!$E$29:$E$32,MATCH(T76,'Critères et poids'!$A$29:$A$32,0)))</f>
        <v/>
      </c>
    </row>
    <row r="77">
      <c r="A77" s="13" t="n"/>
      <c r="B77" s="6" t="n"/>
      <c r="C77" s="6" t="n"/>
      <c r="D77" s="4" t="n"/>
      <c r="E77" s="4" t="n"/>
      <c r="F77" s="4" t="n"/>
      <c r="G77" s="4" t="n"/>
      <c r="H77" s="4" t="n"/>
      <c r="I77" s="4" t="n"/>
      <c r="J77" s="4" t="n"/>
      <c r="K77" s="4" t="n"/>
      <c r="L77" s="4" t="n"/>
      <c r="M77" s="4" t="n"/>
      <c r="N77" s="6" t="n"/>
      <c r="O77" s="6" t="n"/>
      <c r="P77" s="14">
        <f>IF($B77="","",(E77="Clair")*'Critères et poids'!$G$5+(E77="Partiel")*'Critères et poids'!$G$5/2+(F77="Clair")*'Critères et poids'!$G$6+(F77="Partiel")*'Critères et poids'!$G$6/2+(G77="Clair")*'Critères et poids'!$G$7+(G77="Partiel")*'Critères et poids'!$G$7/2+(H77="Clair")*'Critères et poids'!$G$8+(H77="Partiel")*'Critères et poids'!$G$8/2)</f>
        <v/>
      </c>
      <c r="Q77" s="14">
        <f>IF($B77="","",(I77="Clair")*'Critères et poids'!$G$9+(I77="Partiel")*'Critères et poids'!$G$9/2+(J77="Clair")*'Critères et poids'!$G$10+(J77="Partiel")*'Critères et poids'!$G$10/2+(K77="Clair")*'Critères et poids'!$G$11+(K77="Partiel")*'Critères et poids'!$G$11/2+(L77="Clair")*'Critères et poids'!$G$12+(L77="Partiel")*'Critères et poids'!$G$12/2+(M77="Clair")*'Critères et poids'!$G$13+(M77="Partiel")*'Critères et poids'!$G$13/2)</f>
        <v/>
      </c>
      <c r="R77" s="14">
        <f>IF($B77="","",IFERROR(VLOOKUP(N77,'Critères et poids'!$B$17:$C$20,2,FALSE),0))</f>
        <v/>
      </c>
      <c r="S77" s="9">
        <f>IF($B77="","",MAX(0,P77+Q77+R77))</f>
        <v/>
      </c>
      <c r="T77" s="9">
        <f>IF($B77="","",IF(O77&lt;&gt;"","X",IF(S77&gt;='Critères et poids'!$C$29,"A",IF(S77&gt;='Critères et poids'!$C$30,"B","C"))))</f>
        <v/>
      </c>
      <c r="U77" s="14">
        <f>IF(T77="","",INDEX('Critères et poids'!$D$29:$D$32,MATCH(T77,'Critères et poids'!$A$29:$A$32,0)))</f>
        <v/>
      </c>
      <c r="V77" s="14">
        <f>IF(T77="","",INDEX('Critères et poids'!$F$29:$F$32,MATCH(T77,'Critères et poids'!$A$29:$A$32,0)))</f>
        <v/>
      </c>
      <c r="W77" s="15">
        <f>IF(OR(AH77="",AJ77=""),"",IF(AI77+AJ77*60&lt;=ROUND('Critères et poids'!$C$37*1440,0),INT(AH77)+(AI77+AJ77*60)/1440,WORKDAY(INT(AH77),1+INT((AI77+AJ77*60-ROUND('Critères et poids'!$C$37*1440,0)-1)/(ROUND('Critères et poids'!$C$37*1440,0)-ROUND('Critères et poids'!$C$36*1440,0))))+(ROUND('Critères et poids'!$C$36*1440,0)+AI77+AJ77*60-ROUND('Critères et poids'!$C$37*1440,0)-INT((AI77+AJ77*60-ROUND('Critères et poids'!$C$37*1440,0)-1)/(ROUND('Critères et poids'!$C$37*1440,0)-ROUND('Critères et poids'!$C$36*1440,0)))*(ROUND('Critères et poids'!$C$37*1440,0)-ROUND('Critères et poids'!$C$36*1440,0)))/1440))</f>
        <v/>
      </c>
      <c r="X77" s="16" t="n"/>
      <c r="Y77" s="14">
        <f>IF(W77="","",IF(X77="",IF(NOW()&gt;W77,"En retard","En attente"),IF(X77&lt;=W77,"À temps","En retard")))</f>
        <v/>
      </c>
      <c r="Z77" s="17" t="n"/>
      <c r="AA77" s="14">
        <f>IF($B77="","",IF(OR(T77="X",AD77&lt;&gt;""),0,MAX(0,MIN(Q77,'Critères et poids'!$C$38*INT((TODAY()-IF(Z77&lt;&gt;"",Z77,INT($A77)))/7)))))</f>
        <v/>
      </c>
      <c r="AB77" s="14">
        <f>IF($B77="","",MAX(0,S77-AA77))</f>
        <v/>
      </c>
      <c r="AC77" s="9">
        <f>IF($B77="","",IF(T77="X","X",IF(AB77&gt;='Critères et poids'!$C$29,"A",IF(AB77&gt;='Critères et poids'!$C$30,"B","C"))))</f>
        <v/>
      </c>
      <c r="AD77" s="4" t="n"/>
      <c r="AE77" s="18" t="n"/>
      <c r="AF77" s="6" t="n"/>
      <c r="AH77">
        <f>IF($A77="","",IF(OR(WEEKDAY($A77,2)&gt;5,ROUND(MOD($A77,1)*1440,0)&gt;=ROUND('Critères et poids'!$C$37*1440,0)),WORKDAY(INT($A77),1)+ROUND('Critères et poids'!$C$36*1440,0)/1440,IF(ROUND(MOD($A77,1)*1440,0)&lt;ROUND('Critères et poids'!$C$36*1440,0),INT($A77)+ROUND('Critères et poids'!$C$36*1440,0)/1440,$A77)))</f>
        <v/>
      </c>
      <c r="AI77">
        <f>IF(AH77="","",ROUND(MOD(AH77,1)*1440,0))</f>
        <v/>
      </c>
      <c r="AJ77">
        <f>IF(T77="","",INDEX('Critères et poids'!$E$29:$E$32,MATCH(T77,'Critères et poids'!$A$29:$A$32,0)))</f>
        <v/>
      </c>
    </row>
    <row r="78">
      <c r="A78" s="13" t="n"/>
      <c r="B78" s="6" t="n"/>
      <c r="C78" s="6" t="n"/>
      <c r="D78" s="4" t="n"/>
      <c r="E78" s="4" t="n"/>
      <c r="F78" s="4" t="n"/>
      <c r="G78" s="4" t="n"/>
      <c r="H78" s="4" t="n"/>
      <c r="I78" s="4" t="n"/>
      <c r="J78" s="4" t="n"/>
      <c r="K78" s="4" t="n"/>
      <c r="L78" s="4" t="n"/>
      <c r="M78" s="4" t="n"/>
      <c r="N78" s="6" t="n"/>
      <c r="O78" s="6" t="n"/>
      <c r="P78" s="14">
        <f>IF($B78="","",(E78="Clair")*'Critères et poids'!$G$5+(E78="Partiel")*'Critères et poids'!$G$5/2+(F78="Clair")*'Critères et poids'!$G$6+(F78="Partiel")*'Critères et poids'!$G$6/2+(G78="Clair")*'Critères et poids'!$G$7+(G78="Partiel")*'Critères et poids'!$G$7/2+(H78="Clair")*'Critères et poids'!$G$8+(H78="Partiel")*'Critères et poids'!$G$8/2)</f>
        <v/>
      </c>
      <c r="Q78" s="14">
        <f>IF($B78="","",(I78="Clair")*'Critères et poids'!$G$9+(I78="Partiel")*'Critères et poids'!$G$9/2+(J78="Clair")*'Critères et poids'!$G$10+(J78="Partiel")*'Critères et poids'!$G$10/2+(K78="Clair")*'Critères et poids'!$G$11+(K78="Partiel")*'Critères et poids'!$G$11/2+(L78="Clair")*'Critères et poids'!$G$12+(L78="Partiel")*'Critères et poids'!$G$12/2+(M78="Clair")*'Critères et poids'!$G$13+(M78="Partiel")*'Critères et poids'!$G$13/2)</f>
        <v/>
      </c>
      <c r="R78" s="14">
        <f>IF($B78="","",IFERROR(VLOOKUP(N78,'Critères et poids'!$B$17:$C$20,2,FALSE),0))</f>
        <v/>
      </c>
      <c r="S78" s="9">
        <f>IF($B78="","",MAX(0,P78+Q78+R78))</f>
        <v/>
      </c>
      <c r="T78" s="9">
        <f>IF($B78="","",IF(O78&lt;&gt;"","X",IF(S78&gt;='Critères et poids'!$C$29,"A",IF(S78&gt;='Critères et poids'!$C$30,"B","C"))))</f>
        <v/>
      </c>
      <c r="U78" s="14">
        <f>IF(T78="","",INDEX('Critères et poids'!$D$29:$D$32,MATCH(T78,'Critères et poids'!$A$29:$A$32,0)))</f>
        <v/>
      </c>
      <c r="V78" s="14">
        <f>IF(T78="","",INDEX('Critères et poids'!$F$29:$F$32,MATCH(T78,'Critères et poids'!$A$29:$A$32,0)))</f>
        <v/>
      </c>
      <c r="W78" s="15">
        <f>IF(OR(AH78="",AJ78=""),"",IF(AI78+AJ78*60&lt;=ROUND('Critères et poids'!$C$37*1440,0),INT(AH78)+(AI78+AJ78*60)/1440,WORKDAY(INT(AH78),1+INT((AI78+AJ78*60-ROUND('Critères et poids'!$C$37*1440,0)-1)/(ROUND('Critères et poids'!$C$37*1440,0)-ROUND('Critères et poids'!$C$36*1440,0))))+(ROUND('Critères et poids'!$C$36*1440,0)+AI78+AJ78*60-ROUND('Critères et poids'!$C$37*1440,0)-INT((AI78+AJ78*60-ROUND('Critères et poids'!$C$37*1440,0)-1)/(ROUND('Critères et poids'!$C$37*1440,0)-ROUND('Critères et poids'!$C$36*1440,0)))*(ROUND('Critères et poids'!$C$37*1440,0)-ROUND('Critères et poids'!$C$36*1440,0)))/1440))</f>
        <v/>
      </c>
      <c r="X78" s="16" t="n"/>
      <c r="Y78" s="14">
        <f>IF(W78="","",IF(X78="",IF(NOW()&gt;W78,"En retard","En attente"),IF(X78&lt;=W78,"À temps","En retard")))</f>
        <v/>
      </c>
      <c r="Z78" s="17" t="n"/>
      <c r="AA78" s="14">
        <f>IF($B78="","",IF(OR(T78="X",AD78&lt;&gt;""),0,MAX(0,MIN(Q78,'Critères et poids'!$C$38*INT((TODAY()-IF(Z78&lt;&gt;"",Z78,INT($A78)))/7)))))</f>
        <v/>
      </c>
      <c r="AB78" s="14">
        <f>IF($B78="","",MAX(0,S78-AA78))</f>
        <v/>
      </c>
      <c r="AC78" s="9">
        <f>IF($B78="","",IF(T78="X","X",IF(AB78&gt;='Critères et poids'!$C$29,"A",IF(AB78&gt;='Critères et poids'!$C$30,"B","C"))))</f>
        <v/>
      </c>
      <c r="AD78" s="4" t="n"/>
      <c r="AE78" s="18" t="n"/>
      <c r="AF78" s="6" t="n"/>
      <c r="AH78">
        <f>IF($A78="","",IF(OR(WEEKDAY($A78,2)&gt;5,ROUND(MOD($A78,1)*1440,0)&gt;=ROUND('Critères et poids'!$C$37*1440,0)),WORKDAY(INT($A78),1)+ROUND('Critères et poids'!$C$36*1440,0)/1440,IF(ROUND(MOD($A78,1)*1440,0)&lt;ROUND('Critères et poids'!$C$36*1440,0),INT($A78)+ROUND('Critères et poids'!$C$36*1440,0)/1440,$A78)))</f>
        <v/>
      </c>
      <c r="AI78">
        <f>IF(AH78="","",ROUND(MOD(AH78,1)*1440,0))</f>
        <v/>
      </c>
      <c r="AJ78">
        <f>IF(T78="","",INDEX('Critères et poids'!$E$29:$E$32,MATCH(T78,'Critères et poids'!$A$29:$A$32,0)))</f>
        <v/>
      </c>
    </row>
    <row r="79">
      <c r="A79" s="13" t="n"/>
      <c r="B79" s="6" t="n"/>
      <c r="C79" s="6" t="n"/>
      <c r="D79" s="4" t="n"/>
      <c r="E79" s="4" t="n"/>
      <c r="F79" s="4" t="n"/>
      <c r="G79" s="4" t="n"/>
      <c r="H79" s="4" t="n"/>
      <c r="I79" s="4" t="n"/>
      <c r="J79" s="4" t="n"/>
      <c r="K79" s="4" t="n"/>
      <c r="L79" s="4" t="n"/>
      <c r="M79" s="4" t="n"/>
      <c r="N79" s="6" t="n"/>
      <c r="O79" s="6" t="n"/>
      <c r="P79" s="14">
        <f>IF($B79="","",(E79="Clair")*'Critères et poids'!$G$5+(E79="Partiel")*'Critères et poids'!$G$5/2+(F79="Clair")*'Critères et poids'!$G$6+(F79="Partiel")*'Critères et poids'!$G$6/2+(G79="Clair")*'Critères et poids'!$G$7+(G79="Partiel")*'Critères et poids'!$G$7/2+(H79="Clair")*'Critères et poids'!$G$8+(H79="Partiel")*'Critères et poids'!$G$8/2)</f>
        <v/>
      </c>
      <c r="Q79" s="14">
        <f>IF($B79="","",(I79="Clair")*'Critères et poids'!$G$9+(I79="Partiel")*'Critères et poids'!$G$9/2+(J79="Clair")*'Critères et poids'!$G$10+(J79="Partiel")*'Critères et poids'!$G$10/2+(K79="Clair")*'Critères et poids'!$G$11+(K79="Partiel")*'Critères et poids'!$G$11/2+(L79="Clair")*'Critères et poids'!$G$12+(L79="Partiel")*'Critères et poids'!$G$12/2+(M79="Clair")*'Critères et poids'!$G$13+(M79="Partiel")*'Critères et poids'!$G$13/2)</f>
        <v/>
      </c>
      <c r="R79" s="14">
        <f>IF($B79="","",IFERROR(VLOOKUP(N79,'Critères et poids'!$B$17:$C$20,2,FALSE),0))</f>
        <v/>
      </c>
      <c r="S79" s="9">
        <f>IF($B79="","",MAX(0,P79+Q79+R79))</f>
        <v/>
      </c>
      <c r="T79" s="9">
        <f>IF($B79="","",IF(O79&lt;&gt;"","X",IF(S79&gt;='Critères et poids'!$C$29,"A",IF(S79&gt;='Critères et poids'!$C$30,"B","C"))))</f>
        <v/>
      </c>
      <c r="U79" s="14">
        <f>IF(T79="","",INDEX('Critères et poids'!$D$29:$D$32,MATCH(T79,'Critères et poids'!$A$29:$A$32,0)))</f>
        <v/>
      </c>
      <c r="V79" s="14">
        <f>IF(T79="","",INDEX('Critères et poids'!$F$29:$F$32,MATCH(T79,'Critères et poids'!$A$29:$A$32,0)))</f>
        <v/>
      </c>
      <c r="W79" s="15">
        <f>IF(OR(AH79="",AJ79=""),"",IF(AI79+AJ79*60&lt;=ROUND('Critères et poids'!$C$37*1440,0),INT(AH79)+(AI79+AJ79*60)/1440,WORKDAY(INT(AH79),1+INT((AI79+AJ79*60-ROUND('Critères et poids'!$C$37*1440,0)-1)/(ROUND('Critères et poids'!$C$37*1440,0)-ROUND('Critères et poids'!$C$36*1440,0))))+(ROUND('Critères et poids'!$C$36*1440,0)+AI79+AJ79*60-ROUND('Critères et poids'!$C$37*1440,0)-INT((AI79+AJ79*60-ROUND('Critères et poids'!$C$37*1440,0)-1)/(ROUND('Critères et poids'!$C$37*1440,0)-ROUND('Critères et poids'!$C$36*1440,0)))*(ROUND('Critères et poids'!$C$37*1440,0)-ROUND('Critères et poids'!$C$36*1440,0)))/1440))</f>
        <v/>
      </c>
      <c r="X79" s="16" t="n"/>
      <c r="Y79" s="14">
        <f>IF(W79="","",IF(X79="",IF(NOW()&gt;W79,"En retard","En attente"),IF(X79&lt;=W79,"À temps","En retard")))</f>
        <v/>
      </c>
      <c r="Z79" s="17" t="n"/>
      <c r="AA79" s="14">
        <f>IF($B79="","",IF(OR(T79="X",AD79&lt;&gt;""),0,MAX(0,MIN(Q79,'Critères et poids'!$C$38*INT((TODAY()-IF(Z79&lt;&gt;"",Z79,INT($A79)))/7)))))</f>
        <v/>
      </c>
      <c r="AB79" s="14">
        <f>IF($B79="","",MAX(0,S79-AA79))</f>
        <v/>
      </c>
      <c r="AC79" s="9">
        <f>IF($B79="","",IF(T79="X","X",IF(AB79&gt;='Critères et poids'!$C$29,"A",IF(AB79&gt;='Critères et poids'!$C$30,"B","C"))))</f>
        <v/>
      </c>
      <c r="AD79" s="4" t="n"/>
      <c r="AE79" s="18" t="n"/>
      <c r="AF79" s="6" t="n"/>
      <c r="AH79">
        <f>IF($A79="","",IF(OR(WEEKDAY($A79,2)&gt;5,ROUND(MOD($A79,1)*1440,0)&gt;=ROUND('Critères et poids'!$C$37*1440,0)),WORKDAY(INT($A79),1)+ROUND('Critères et poids'!$C$36*1440,0)/1440,IF(ROUND(MOD($A79,1)*1440,0)&lt;ROUND('Critères et poids'!$C$36*1440,0),INT($A79)+ROUND('Critères et poids'!$C$36*1440,0)/1440,$A79)))</f>
        <v/>
      </c>
      <c r="AI79">
        <f>IF(AH79="","",ROUND(MOD(AH79,1)*1440,0))</f>
        <v/>
      </c>
      <c r="AJ79">
        <f>IF(T79="","",INDEX('Critères et poids'!$E$29:$E$32,MATCH(T79,'Critères et poids'!$A$29:$A$32,0)))</f>
        <v/>
      </c>
    </row>
    <row r="80">
      <c r="A80" s="13" t="n"/>
      <c r="B80" s="6" t="n"/>
      <c r="C80" s="6" t="n"/>
      <c r="D80" s="4" t="n"/>
      <c r="E80" s="4" t="n"/>
      <c r="F80" s="4" t="n"/>
      <c r="G80" s="4" t="n"/>
      <c r="H80" s="4" t="n"/>
      <c r="I80" s="4" t="n"/>
      <c r="J80" s="4" t="n"/>
      <c r="K80" s="4" t="n"/>
      <c r="L80" s="4" t="n"/>
      <c r="M80" s="4" t="n"/>
      <c r="N80" s="6" t="n"/>
      <c r="O80" s="6" t="n"/>
      <c r="P80" s="14">
        <f>IF($B80="","",(E80="Clair")*'Critères et poids'!$G$5+(E80="Partiel")*'Critères et poids'!$G$5/2+(F80="Clair")*'Critères et poids'!$G$6+(F80="Partiel")*'Critères et poids'!$G$6/2+(G80="Clair")*'Critères et poids'!$G$7+(G80="Partiel")*'Critères et poids'!$G$7/2+(H80="Clair")*'Critères et poids'!$G$8+(H80="Partiel")*'Critères et poids'!$G$8/2)</f>
        <v/>
      </c>
      <c r="Q80" s="14">
        <f>IF($B80="","",(I80="Clair")*'Critères et poids'!$G$9+(I80="Partiel")*'Critères et poids'!$G$9/2+(J80="Clair")*'Critères et poids'!$G$10+(J80="Partiel")*'Critères et poids'!$G$10/2+(K80="Clair")*'Critères et poids'!$G$11+(K80="Partiel")*'Critères et poids'!$G$11/2+(L80="Clair")*'Critères et poids'!$G$12+(L80="Partiel")*'Critères et poids'!$G$12/2+(M80="Clair")*'Critères et poids'!$G$13+(M80="Partiel")*'Critères et poids'!$G$13/2)</f>
        <v/>
      </c>
      <c r="R80" s="14">
        <f>IF($B80="","",IFERROR(VLOOKUP(N80,'Critères et poids'!$B$17:$C$20,2,FALSE),0))</f>
        <v/>
      </c>
      <c r="S80" s="9">
        <f>IF($B80="","",MAX(0,P80+Q80+R80))</f>
        <v/>
      </c>
      <c r="T80" s="9">
        <f>IF($B80="","",IF(O80&lt;&gt;"","X",IF(S80&gt;='Critères et poids'!$C$29,"A",IF(S80&gt;='Critères et poids'!$C$30,"B","C"))))</f>
        <v/>
      </c>
      <c r="U80" s="14">
        <f>IF(T80="","",INDEX('Critères et poids'!$D$29:$D$32,MATCH(T80,'Critères et poids'!$A$29:$A$32,0)))</f>
        <v/>
      </c>
      <c r="V80" s="14">
        <f>IF(T80="","",INDEX('Critères et poids'!$F$29:$F$32,MATCH(T80,'Critères et poids'!$A$29:$A$32,0)))</f>
        <v/>
      </c>
      <c r="W80" s="15">
        <f>IF(OR(AH80="",AJ80=""),"",IF(AI80+AJ80*60&lt;=ROUND('Critères et poids'!$C$37*1440,0),INT(AH80)+(AI80+AJ80*60)/1440,WORKDAY(INT(AH80),1+INT((AI80+AJ80*60-ROUND('Critères et poids'!$C$37*1440,0)-1)/(ROUND('Critères et poids'!$C$37*1440,0)-ROUND('Critères et poids'!$C$36*1440,0))))+(ROUND('Critères et poids'!$C$36*1440,0)+AI80+AJ80*60-ROUND('Critères et poids'!$C$37*1440,0)-INT((AI80+AJ80*60-ROUND('Critères et poids'!$C$37*1440,0)-1)/(ROUND('Critères et poids'!$C$37*1440,0)-ROUND('Critères et poids'!$C$36*1440,0)))*(ROUND('Critères et poids'!$C$37*1440,0)-ROUND('Critères et poids'!$C$36*1440,0)))/1440))</f>
        <v/>
      </c>
      <c r="X80" s="16" t="n"/>
      <c r="Y80" s="14">
        <f>IF(W80="","",IF(X80="",IF(NOW()&gt;W80,"En retard","En attente"),IF(X80&lt;=W80,"À temps","En retard")))</f>
        <v/>
      </c>
      <c r="Z80" s="17" t="n"/>
      <c r="AA80" s="14">
        <f>IF($B80="","",IF(OR(T80="X",AD80&lt;&gt;""),0,MAX(0,MIN(Q80,'Critères et poids'!$C$38*INT((TODAY()-IF(Z80&lt;&gt;"",Z80,INT($A80)))/7)))))</f>
        <v/>
      </c>
      <c r="AB80" s="14">
        <f>IF($B80="","",MAX(0,S80-AA80))</f>
        <v/>
      </c>
      <c r="AC80" s="9">
        <f>IF($B80="","",IF(T80="X","X",IF(AB80&gt;='Critères et poids'!$C$29,"A",IF(AB80&gt;='Critères et poids'!$C$30,"B","C"))))</f>
        <v/>
      </c>
      <c r="AD80" s="4" t="n"/>
      <c r="AE80" s="18" t="n"/>
      <c r="AF80" s="6" t="n"/>
      <c r="AH80">
        <f>IF($A80="","",IF(OR(WEEKDAY($A80,2)&gt;5,ROUND(MOD($A80,1)*1440,0)&gt;=ROUND('Critères et poids'!$C$37*1440,0)),WORKDAY(INT($A80),1)+ROUND('Critères et poids'!$C$36*1440,0)/1440,IF(ROUND(MOD($A80,1)*1440,0)&lt;ROUND('Critères et poids'!$C$36*1440,0),INT($A80)+ROUND('Critères et poids'!$C$36*1440,0)/1440,$A80)))</f>
        <v/>
      </c>
      <c r="AI80">
        <f>IF(AH80="","",ROUND(MOD(AH80,1)*1440,0))</f>
        <v/>
      </c>
      <c r="AJ80">
        <f>IF(T80="","",INDEX('Critères et poids'!$E$29:$E$32,MATCH(T80,'Critères et poids'!$A$29:$A$32,0)))</f>
        <v/>
      </c>
    </row>
    <row r="81">
      <c r="A81" s="13" t="n"/>
      <c r="B81" s="6" t="n"/>
      <c r="C81" s="6" t="n"/>
      <c r="D81" s="4" t="n"/>
      <c r="E81" s="4" t="n"/>
      <c r="F81" s="4" t="n"/>
      <c r="G81" s="4" t="n"/>
      <c r="H81" s="4" t="n"/>
      <c r="I81" s="4" t="n"/>
      <c r="J81" s="4" t="n"/>
      <c r="K81" s="4" t="n"/>
      <c r="L81" s="4" t="n"/>
      <c r="M81" s="4" t="n"/>
      <c r="N81" s="6" t="n"/>
      <c r="O81" s="6" t="n"/>
      <c r="P81" s="14">
        <f>IF($B81="","",(E81="Clair")*'Critères et poids'!$G$5+(E81="Partiel")*'Critères et poids'!$G$5/2+(F81="Clair")*'Critères et poids'!$G$6+(F81="Partiel")*'Critères et poids'!$G$6/2+(G81="Clair")*'Critères et poids'!$G$7+(G81="Partiel")*'Critères et poids'!$G$7/2+(H81="Clair")*'Critères et poids'!$G$8+(H81="Partiel")*'Critères et poids'!$G$8/2)</f>
        <v/>
      </c>
      <c r="Q81" s="14">
        <f>IF($B81="","",(I81="Clair")*'Critères et poids'!$G$9+(I81="Partiel")*'Critères et poids'!$G$9/2+(J81="Clair")*'Critères et poids'!$G$10+(J81="Partiel")*'Critères et poids'!$G$10/2+(K81="Clair")*'Critères et poids'!$G$11+(K81="Partiel")*'Critères et poids'!$G$11/2+(L81="Clair")*'Critères et poids'!$G$12+(L81="Partiel")*'Critères et poids'!$G$12/2+(M81="Clair")*'Critères et poids'!$G$13+(M81="Partiel")*'Critères et poids'!$G$13/2)</f>
        <v/>
      </c>
      <c r="R81" s="14">
        <f>IF($B81="","",IFERROR(VLOOKUP(N81,'Critères et poids'!$B$17:$C$20,2,FALSE),0))</f>
        <v/>
      </c>
      <c r="S81" s="9">
        <f>IF($B81="","",MAX(0,P81+Q81+R81))</f>
        <v/>
      </c>
      <c r="T81" s="9">
        <f>IF($B81="","",IF(O81&lt;&gt;"","X",IF(S81&gt;='Critères et poids'!$C$29,"A",IF(S81&gt;='Critères et poids'!$C$30,"B","C"))))</f>
        <v/>
      </c>
      <c r="U81" s="14">
        <f>IF(T81="","",INDEX('Critères et poids'!$D$29:$D$32,MATCH(T81,'Critères et poids'!$A$29:$A$32,0)))</f>
        <v/>
      </c>
      <c r="V81" s="14">
        <f>IF(T81="","",INDEX('Critères et poids'!$F$29:$F$32,MATCH(T81,'Critères et poids'!$A$29:$A$32,0)))</f>
        <v/>
      </c>
      <c r="W81" s="15">
        <f>IF(OR(AH81="",AJ81=""),"",IF(AI81+AJ81*60&lt;=ROUND('Critères et poids'!$C$37*1440,0),INT(AH81)+(AI81+AJ81*60)/1440,WORKDAY(INT(AH81),1+INT((AI81+AJ81*60-ROUND('Critères et poids'!$C$37*1440,0)-1)/(ROUND('Critères et poids'!$C$37*1440,0)-ROUND('Critères et poids'!$C$36*1440,0))))+(ROUND('Critères et poids'!$C$36*1440,0)+AI81+AJ81*60-ROUND('Critères et poids'!$C$37*1440,0)-INT((AI81+AJ81*60-ROUND('Critères et poids'!$C$37*1440,0)-1)/(ROUND('Critères et poids'!$C$37*1440,0)-ROUND('Critères et poids'!$C$36*1440,0)))*(ROUND('Critères et poids'!$C$37*1440,0)-ROUND('Critères et poids'!$C$36*1440,0)))/1440))</f>
        <v/>
      </c>
      <c r="X81" s="16" t="n"/>
      <c r="Y81" s="14">
        <f>IF(W81="","",IF(X81="",IF(NOW()&gt;W81,"En retard","En attente"),IF(X81&lt;=W81,"À temps","En retard")))</f>
        <v/>
      </c>
      <c r="Z81" s="17" t="n"/>
      <c r="AA81" s="14">
        <f>IF($B81="","",IF(OR(T81="X",AD81&lt;&gt;""),0,MAX(0,MIN(Q81,'Critères et poids'!$C$38*INT((TODAY()-IF(Z81&lt;&gt;"",Z81,INT($A81)))/7)))))</f>
        <v/>
      </c>
      <c r="AB81" s="14">
        <f>IF($B81="","",MAX(0,S81-AA81))</f>
        <v/>
      </c>
      <c r="AC81" s="9">
        <f>IF($B81="","",IF(T81="X","X",IF(AB81&gt;='Critères et poids'!$C$29,"A",IF(AB81&gt;='Critères et poids'!$C$30,"B","C"))))</f>
        <v/>
      </c>
      <c r="AD81" s="4" t="n"/>
      <c r="AE81" s="18" t="n"/>
      <c r="AF81" s="6" t="n"/>
      <c r="AH81">
        <f>IF($A81="","",IF(OR(WEEKDAY($A81,2)&gt;5,ROUND(MOD($A81,1)*1440,0)&gt;=ROUND('Critères et poids'!$C$37*1440,0)),WORKDAY(INT($A81),1)+ROUND('Critères et poids'!$C$36*1440,0)/1440,IF(ROUND(MOD($A81,1)*1440,0)&lt;ROUND('Critères et poids'!$C$36*1440,0),INT($A81)+ROUND('Critères et poids'!$C$36*1440,0)/1440,$A81)))</f>
        <v/>
      </c>
      <c r="AI81">
        <f>IF(AH81="","",ROUND(MOD(AH81,1)*1440,0))</f>
        <v/>
      </c>
      <c r="AJ81">
        <f>IF(T81="","",INDEX('Critères et poids'!$E$29:$E$32,MATCH(T81,'Critères et poids'!$A$29:$A$32,0)))</f>
        <v/>
      </c>
    </row>
    <row r="82">
      <c r="A82" s="13" t="n"/>
      <c r="B82" s="6" t="n"/>
      <c r="C82" s="6" t="n"/>
      <c r="D82" s="4" t="n"/>
      <c r="E82" s="4" t="n"/>
      <c r="F82" s="4" t="n"/>
      <c r="G82" s="4" t="n"/>
      <c r="H82" s="4" t="n"/>
      <c r="I82" s="4" t="n"/>
      <c r="J82" s="4" t="n"/>
      <c r="K82" s="4" t="n"/>
      <c r="L82" s="4" t="n"/>
      <c r="M82" s="4" t="n"/>
      <c r="N82" s="6" t="n"/>
      <c r="O82" s="6" t="n"/>
      <c r="P82" s="14">
        <f>IF($B82="","",(E82="Clair")*'Critères et poids'!$G$5+(E82="Partiel")*'Critères et poids'!$G$5/2+(F82="Clair")*'Critères et poids'!$G$6+(F82="Partiel")*'Critères et poids'!$G$6/2+(G82="Clair")*'Critères et poids'!$G$7+(G82="Partiel")*'Critères et poids'!$G$7/2+(H82="Clair")*'Critères et poids'!$G$8+(H82="Partiel")*'Critères et poids'!$G$8/2)</f>
        <v/>
      </c>
      <c r="Q82" s="14">
        <f>IF($B82="","",(I82="Clair")*'Critères et poids'!$G$9+(I82="Partiel")*'Critères et poids'!$G$9/2+(J82="Clair")*'Critères et poids'!$G$10+(J82="Partiel")*'Critères et poids'!$G$10/2+(K82="Clair")*'Critères et poids'!$G$11+(K82="Partiel")*'Critères et poids'!$G$11/2+(L82="Clair")*'Critères et poids'!$G$12+(L82="Partiel")*'Critères et poids'!$G$12/2+(M82="Clair")*'Critères et poids'!$G$13+(M82="Partiel")*'Critères et poids'!$G$13/2)</f>
        <v/>
      </c>
      <c r="R82" s="14">
        <f>IF($B82="","",IFERROR(VLOOKUP(N82,'Critères et poids'!$B$17:$C$20,2,FALSE),0))</f>
        <v/>
      </c>
      <c r="S82" s="9">
        <f>IF($B82="","",MAX(0,P82+Q82+R82))</f>
        <v/>
      </c>
      <c r="T82" s="9">
        <f>IF($B82="","",IF(O82&lt;&gt;"","X",IF(S82&gt;='Critères et poids'!$C$29,"A",IF(S82&gt;='Critères et poids'!$C$30,"B","C"))))</f>
        <v/>
      </c>
      <c r="U82" s="14">
        <f>IF(T82="","",INDEX('Critères et poids'!$D$29:$D$32,MATCH(T82,'Critères et poids'!$A$29:$A$32,0)))</f>
        <v/>
      </c>
      <c r="V82" s="14">
        <f>IF(T82="","",INDEX('Critères et poids'!$F$29:$F$32,MATCH(T82,'Critères et poids'!$A$29:$A$32,0)))</f>
        <v/>
      </c>
      <c r="W82" s="15">
        <f>IF(OR(AH82="",AJ82=""),"",IF(AI82+AJ82*60&lt;=ROUND('Critères et poids'!$C$37*1440,0),INT(AH82)+(AI82+AJ82*60)/1440,WORKDAY(INT(AH82),1+INT((AI82+AJ82*60-ROUND('Critères et poids'!$C$37*1440,0)-1)/(ROUND('Critères et poids'!$C$37*1440,0)-ROUND('Critères et poids'!$C$36*1440,0))))+(ROUND('Critères et poids'!$C$36*1440,0)+AI82+AJ82*60-ROUND('Critères et poids'!$C$37*1440,0)-INT((AI82+AJ82*60-ROUND('Critères et poids'!$C$37*1440,0)-1)/(ROUND('Critères et poids'!$C$37*1440,0)-ROUND('Critères et poids'!$C$36*1440,0)))*(ROUND('Critères et poids'!$C$37*1440,0)-ROUND('Critères et poids'!$C$36*1440,0)))/1440))</f>
        <v/>
      </c>
      <c r="X82" s="16" t="n"/>
      <c r="Y82" s="14">
        <f>IF(W82="","",IF(X82="",IF(NOW()&gt;W82,"En retard","En attente"),IF(X82&lt;=W82,"À temps","En retard")))</f>
        <v/>
      </c>
      <c r="Z82" s="17" t="n"/>
      <c r="AA82" s="14">
        <f>IF($B82="","",IF(OR(T82="X",AD82&lt;&gt;""),0,MAX(0,MIN(Q82,'Critères et poids'!$C$38*INT((TODAY()-IF(Z82&lt;&gt;"",Z82,INT($A82)))/7)))))</f>
        <v/>
      </c>
      <c r="AB82" s="14">
        <f>IF($B82="","",MAX(0,S82-AA82))</f>
        <v/>
      </c>
      <c r="AC82" s="9">
        <f>IF($B82="","",IF(T82="X","X",IF(AB82&gt;='Critères et poids'!$C$29,"A",IF(AB82&gt;='Critères et poids'!$C$30,"B","C"))))</f>
        <v/>
      </c>
      <c r="AD82" s="4" t="n"/>
      <c r="AE82" s="18" t="n"/>
      <c r="AF82" s="6" t="n"/>
      <c r="AH82">
        <f>IF($A82="","",IF(OR(WEEKDAY($A82,2)&gt;5,ROUND(MOD($A82,1)*1440,0)&gt;=ROUND('Critères et poids'!$C$37*1440,0)),WORKDAY(INT($A82),1)+ROUND('Critères et poids'!$C$36*1440,0)/1440,IF(ROUND(MOD($A82,1)*1440,0)&lt;ROUND('Critères et poids'!$C$36*1440,0),INT($A82)+ROUND('Critères et poids'!$C$36*1440,0)/1440,$A82)))</f>
        <v/>
      </c>
      <c r="AI82">
        <f>IF(AH82="","",ROUND(MOD(AH82,1)*1440,0))</f>
        <v/>
      </c>
      <c r="AJ82">
        <f>IF(T82="","",INDEX('Critères et poids'!$E$29:$E$32,MATCH(T82,'Critères et poids'!$A$29:$A$32,0)))</f>
        <v/>
      </c>
    </row>
    <row r="83">
      <c r="A83" s="13" t="n"/>
      <c r="B83" s="6" t="n"/>
      <c r="C83" s="6" t="n"/>
      <c r="D83" s="4" t="n"/>
      <c r="E83" s="4" t="n"/>
      <c r="F83" s="4" t="n"/>
      <c r="G83" s="4" t="n"/>
      <c r="H83" s="4" t="n"/>
      <c r="I83" s="4" t="n"/>
      <c r="J83" s="4" t="n"/>
      <c r="K83" s="4" t="n"/>
      <c r="L83" s="4" t="n"/>
      <c r="M83" s="4" t="n"/>
      <c r="N83" s="6" t="n"/>
      <c r="O83" s="6" t="n"/>
      <c r="P83" s="14">
        <f>IF($B83="","",(E83="Clair")*'Critères et poids'!$G$5+(E83="Partiel")*'Critères et poids'!$G$5/2+(F83="Clair")*'Critères et poids'!$G$6+(F83="Partiel")*'Critères et poids'!$G$6/2+(G83="Clair")*'Critères et poids'!$G$7+(G83="Partiel")*'Critères et poids'!$G$7/2+(H83="Clair")*'Critères et poids'!$G$8+(H83="Partiel")*'Critères et poids'!$G$8/2)</f>
        <v/>
      </c>
      <c r="Q83" s="14">
        <f>IF($B83="","",(I83="Clair")*'Critères et poids'!$G$9+(I83="Partiel")*'Critères et poids'!$G$9/2+(J83="Clair")*'Critères et poids'!$G$10+(J83="Partiel")*'Critères et poids'!$G$10/2+(K83="Clair")*'Critères et poids'!$G$11+(K83="Partiel")*'Critères et poids'!$G$11/2+(L83="Clair")*'Critères et poids'!$G$12+(L83="Partiel")*'Critères et poids'!$G$12/2+(M83="Clair")*'Critères et poids'!$G$13+(M83="Partiel")*'Critères et poids'!$G$13/2)</f>
        <v/>
      </c>
      <c r="R83" s="14">
        <f>IF($B83="","",IFERROR(VLOOKUP(N83,'Critères et poids'!$B$17:$C$20,2,FALSE),0))</f>
        <v/>
      </c>
      <c r="S83" s="9">
        <f>IF($B83="","",MAX(0,P83+Q83+R83))</f>
        <v/>
      </c>
      <c r="T83" s="9">
        <f>IF($B83="","",IF(O83&lt;&gt;"","X",IF(S83&gt;='Critères et poids'!$C$29,"A",IF(S83&gt;='Critères et poids'!$C$30,"B","C"))))</f>
        <v/>
      </c>
      <c r="U83" s="14">
        <f>IF(T83="","",INDEX('Critères et poids'!$D$29:$D$32,MATCH(T83,'Critères et poids'!$A$29:$A$32,0)))</f>
        <v/>
      </c>
      <c r="V83" s="14">
        <f>IF(T83="","",INDEX('Critères et poids'!$F$29:$F$32,MATCH(T83,'Critères et poids'!$A$29:$A$32,0)))</f>
        <v/>
      </c>
      <c r="W83" s="15">
        <f>IF(OR(AH83="",AJ83=""),"",IF(AI83+AJ83*60&lt;=ROUND('Critères et poids'!$C$37*1440,0),INT(AH83)+(AI83+AJ83*60)/1440,WORKDAY(INT(AH83),1+INT((AI83+AJ83*60-ROUND('Critères et poids'!$C$37*1440,0)-1)/(ROUND('Critères et poids'!$C$37*1440,0)-ROUND('Critères et poids'!$C$36*1440,0))))+(ROUND('Critères et poids'!$C$36*1440,0)+AI83+AJ83*60-ROUND('Critères et poids'!$C$37*1440,0)-INT((AI83+AJ83*60-ROUND('Critères et poids'!$C$37*1440,0)-1)/(ROUND('Critères et poids'!$C$37*1440,0)-ROUND('Critères et poids'!$C$36*1440,0)))*(ROUND('Critères et poids'!$C$37*1440,0)-ROUND('Critères et poids'!$C$36*1440,0)))/1440))</f>
        <v/>
      </c>
      <c r="X83" s="16" t="n"/>
      <c r="Y83" s="14">
        <f>IF(W83="","",IF(X83="",IF(NOW()&gt;W83,"En retard","En attente"),IF(X83&lt;=W83,"À temps","En retard")))</f>
        <v/>
      </c>
      <c r="Z83" s="17" t="n"/>
      <c r="AA83" s="14">
        <f>IF($B83="","",IF(OR(T83="X",AD83&lt;&gt;""),0,MAX(0,MIN(Q83,'Critères et poids'!$C$38*INT((TODAY()-IF(Z83&lt;&gt;"",Z83,INT($A83)))/7)))))</f>
        <v/>
      </c>
      <c r="AB83" s="14">
        <f>IF($B83="","",MAX(0,S83-AA83))</f>
        <v/>
      </c>
      <c r="AC83" s="9">
        <f>IF($B83="","",IF(T83="X","X",IF(AB83&gt;='Critères et poids'!$C$29,"A",IF(AB83&gt;='Critères et poids'!$C$30,"B","C"))))</f>
        <v/>
      </c>
      <c r="AD83" s="4" t="n"/>
      <c r="AE83" s="18" t="n"/>
      <c r="AF83" s="6" t="n"/>
      <c r="AH83">
        <f>IF($A83="","",IF(OR(WEEKDAY($A83,2)&gt;5,ROUND(MOD($A83,1)*1440,0)&gt;=ROUND('Critères et poids'!$C$37*1440,0)),WORKDAY(INT($A83),1)+ROUND('Critères et poids'!$C$36*1440,0)/1440,IF(ROUND(MOD($A83,1)*1440,0)&lt;ROUND('Critères et poids'!$C$36*1440,0),INT($A83)+ROUND('Critères et poids'!$C$36*1440,0)/1440,$A83)))</f>
        <v/>
      </c>
      <c r="AI83">
        <f>IF(AH83="","",ROUND(MOD(AH83,1)*1440,0))</f>
        <v/>
      </c>
      <c r="AJ83">
        <f>IF(T83="","",INDEX('Critères et poids'!$E$29:$E$32,MATCH(T83,'Critères et poids'!$A$29:$A$32,0)))</f>
        <v/>
      </c>
    </row>
    <row r="84">
      <c r="A84" s="13" t="n"/>
      <c r="B84" s="6" t="n"/>
      <c r="C84" s="6" t="n"/>
      <c r="D84" s="4" t="n"/>
      <c r="E84" s="4" t="n"/>
      <c r="F84" s="4" t="n"/>
      <c r="G84" s="4" t="n"/>
      <c r="H84" s="4" t="n"/>
      <c r="I84" s="4" t="n"/>
      <c r="J84" s="4" t="n"/>
      <c r="K84" s="4" t="n"/>
      <c r="L84" s="4" t="n"/>
      <c r="M84" s="4" t="n"/>
      <c r="N84" s="6" t="n"/>
      <c r="O84" s="6" t="n"/>
      <c r="P84" s="14">
        <f>IF($B84="","",(E84="Clair")*'Critères et poids'!$G$5+(E84="Partiel")*'Critères et poids'!$G$5/2+(F84="Clair")*'Critères et poids'!$G$6+(F84="Partiel")*'Critères et poids'!$G$6/2+(G84="Clair")*'Critères et poids'!$G$7+(G84="Partiel")*'Critères et poids'!$G$7/2+(H84="Clair")*'Critères et poids'!$G$8+(H84="Partiel")*'Critères et poids'!$G$8/2)</f>
        <v/>
      </c>
      <c r="Q84" s="14">
        <f>IF($B84="","",(I84="Clair")*'Critères et poids'!$G$9+(I84="Partiel")*'Critères et poids'!$G$9/2+(J84="Clair")*'Critères et poids'!$G$10+(J84="Partiel")*'Critères et poids'!$G$10/2+(K84="Clair")*'Critères et poids'!$G$11+(K84="Partiel")*'Critères et poids'!$G$11/2+(L84="Clair")*'Critères et poids'!$G$12+(L84="Partiel")*'Critères et poids'!$G$12/2+(M84="Clair")*'Critères et poids'!$G$13+(M84="Partiel")*'Critères et poids'!$G$13/2)</f>
        <v/>
      </c>
      <c r="R84" s="14">
        <f>IF($B84="","",IFERROR(VLOOKUP(N84,'Critères et poids'!$B$17:$C$20,2,FALSE),0))</f>
        <v/>
      </c>
      <c r="S84" s="9">
        <f>IF($B84="","",MAX(0,P84+Q84+R84))</f>
        <v/>
      </c>
      <c r="T84" s="9">
        <f>IF($B84="","",IF(O84&lt;&gt;"","X",IF(S84&gt;='Critères et poids'!$C$29,"A",IF(S84&gt;='Critères et poids'!$C$30,"B","C"))))</f>
        <v/>
      </c>
      <c r="U84" s="14">
        <f>IF(T84="","",INDEX('Critères et poids'!$D$29:$D$32,MATCH(T84,'Critères et poids'!$A$29:$A$32,0)))</f>
        <v/>
      </c>
      <c r="V84" s="14">
        <f>IF(T84="","",INDEX('Critères et poids'!$F$29:$F$32,MATCH(T84,'Critères et poids'!$A$29:$A$32,0)))</f>
        <v/>
      </c>
      <c r="W84" s="15">
        <f>IF(OR(AH84="",AJ84=""),"",IF(AI84+AJ84*60&lt;=ROUND('Critères et poids'!$C$37*1440,0),INT(AH84)+(AI84+AJ84*60)/1440,WORKDAY(INT(AH84),1+INT((AI84+AJ84*60-ROUND('Critères et poids'!$C$37*1440,0)-1)/(ROUND('Critères et poids'!$C$37*1440,0)-ROUND('Critères et poids'!$C$36*1440,0))))+(ROUND('Critères et poids'!$C$36*1440,0)+AI84+AJ84*60-ROUND('Critères et poids'!$C$37*1440,0)-INT((AI84+AJ84*60-ROUND('Critères et poids'!$C$37*1440,0)-1)/(ROUND('Critères et poids'!$C$37*1440,0)-ROUND('Critères et poids'!$C$36*1440,0)))*(ROUND('Critères et poids'!$C$37*1440,0)-ROUND('Critères et poids'!$C$36*1440,0)))/1440))</f>
        <v/>
      </c>
      <c r="X84" s="16" t="n"/>
      <c r="Y84" s="14">
        <f>IF(W84="","",IF(X84="",IF(NOW()&gt;W84,"En retard","En attente"),IF(X84&lt;=W84,"À temps","En retard")))</f>
        <v/>
      </c>
      <c r="Z84" s="17" t="n"/>
      <c r="AA84" s="14">
        <f>IF($B84="","",IF(OR(T84="X",AD84&lt;&gt;""),0,MAX(0,MIN(Q84,'Critères et poids'!$C$38*INT((TODAY()-IF(Z84&lt;&gt;"",Z84,INT($A84)))/7)))))</f>
        <v/>
      </c>
      <c r="AB84" s="14">
        <f>IF($B84="","",MAX(0,S84-AA84))</f>
        <v/>
      </c>
      <c r="AC84" s="9">
        <f>IF($B84="","",IF(T84="X","X",IF(AB84&gt;='Critères et poids'!$C$29,"A",IF(AB84&gt;='Critères et poids'!$C$30,"B","C"))))</f>
        <v/>
      </c>
      <c r="AD84" s="4" t="n"/>
      <c r="AE84" s="18" t="n"/>
      <c r="AF84" s="6" t="n"/>
      <c r="AH84">
        <f>IF($A84="","",IF(OR(WEEKDAY($A84,2)&gt;5,ROUND(MOD($A84,1)*1440,0)&gt;=ROUND('Critères et poids'!$C$37*1440,0)),WORKDAY(INT($A84),1)+ROUND('Critères et poids'!$C$36*1440,0)/1440,IF(ROUND(MOD($A84,1)*1440,0)&lt;ROUND('Critères et poids'!$C$36*1440,0),INT($A84)+ROUND('Critères et poids'!$C$36*1440,0)/1440,$A84)))</f>
        <v/>
      </c>
      <c r="AI84">
        <f>IF(AH84="","",ROUND(MOD(AH84,1)*1440,0))</f>
        <v/>
      </c>
      <c r="AJ84">
        <f>IF(T84="","",INDEX('Critères et poids'!$E$29:$E$32,MATCH(T84,'Critères et poids'!$A$29:$A$32,0)))</f>
        <v/>
      </c>
    </row>
    <row r="85">
      <c r="A85" s="13" t="n"/>
      <c r="B85" s="6" t="n"/>
      <c r="C85" s="6" t="n"/>
      <c r="D85" s="4" t="n"/>
      <c r="E85" s="4" t="n"/>
      <c r="F85" s="4" t="n"/>
      <c r="G85" s="4" t="n"/>
      <c r="H85" s="4" t="n"/>
      <c r="I85" s="4" t="n"/>
      <c r="J85" s="4" t="n"/>
      <c r="K85" s="4" t="n"/>
      <c r="L85" s="4" t="n"/>
      <c r="M85" s="4" t="n"/>
      <c r="N85" s="6" t="n"/>
      <c r="O85" s="6" t="n"/>
      <c r="P85" s="14">
        <f>IF($B85="","",(E85="Clair")*'Critères et poids'!$G$5+(E85="Partiel")*'Critères et poids'!$G$5/2+(F85="Clair")*'Critères et poids'!$G$6+(F85="Partiel")*'Critères et poids'!$G$6/2+(G85="Clair")*'Critères et poids'!$G$7+(G85="Partiel")*'Critères et poids'!$G$7/2+(H85="Clair")*'Critères et poids'!$G$8+(H85="Partiel")*'Critères et poids'!$G$8/2)</f>
        <v/>
      </c>
      <c r="Q85" s="14">
        <f>IF($B85="","",(I85="Clair")*'Critères et poids'!$G$9+(I85="Partiel")*'Critères et poids'!$G$9/2+(J85="Clair")*'Critères et poids'!$G$10+(J85="Partiel")*'Critères et poids'!$G$10/2+(K85="Clair")*'Critères et poids'!$G$11+(K85="Partiel")*'Critères et poids'!$G$11/2+(L85="Clair")*'Critères et poids'!$G$12+(L85="Partiel")*'Critères et poids'!$G$12/2+(M85="Clair")*'Critères et poids'!$G$13+(M85="Partiel")*'Critères et poids'!$G$13/2)</f>
        <v/>
      </c>
      <c r="R85" s="14">
        <f>IF($B85="","",IFERROR(VLOOKUP(N85,'Critères et poids'!$B$17:$C$20,2,FALSE),0))</f>
        <v/>
      </c>
      <c r="S85" s="9">
        <f>IF($B85="","",MAX(0,P85+Q85+R85))</f>
        <v/>
      </c>
      <c r="T85" s="9">
        <f>IF($B85="","",IF(O85&lt;&gt;"","X",IF(S85&gt;='Critères et poids'!$C$29,"A",IF(S85&gt;='Critères et poids'!$C$30,"B","C"))))</f>
        <v/>
      </c>
      <c r="U85" s="14">
        <f>IF(T85="","",INDEX('Critères et poids'!$D$29:$D$32,MATCH(T85,'Critères et poids'!$A$29:$A$32,0)))</f>
        <v/>
      </c>
      <c r="V85" s="14">
        <f>IF(T85="","",INDEX('Critères et poids'!$F$29:$F$32,MATCH(T85,'Critères et poids'!$A$29:$A$32,0)))</f>
        <v/>
      </c>
      <c r="W85" s="15">
        <f>IF(OR(AH85="",AJ85=""),"",IF(AI85+AJ85*60&lt;=ROUND('Critères et poids'!$C$37*1440,0),INT(AH85)+(AI85+AJ85*60)/1440,WORKDAY(INT(AH85),1+INT((AI85+AJ85*60-ROUND('Critères et poids'!$C$37*1440,0)-1)/(ROUND('Critères et poids'!$C$37*1440,0)-ROUND('Critères et poids'!$C$36*1440,0))))+(ROUND('Critères et poids'!$C$36*1440,0)+AI85+AJ85*60-ROUND('Critères et poids'!$C$37*1440,0)-INT((AI85+AJ85*60-ROUND('Critères et poids'!$C$37*1440,0)-1)/(ROUND('Critères et poids'!$C$37*1440,0)-ROUND('Critères et poids'!$C$36*1440,0)))*(ROUND('Critères et poids'!$C$37*1440,0)-ROUND('Critères et poids'!$C$36*1440,0)))/1440))</f>
        <v/>
      </c>
      <c r="X85" s="16" t="n"/>
      <c r="Y85" s="14">
        <f>IF(W85="","",IF(X85="",IF(NOW()&gt;W85,"En retard","En attente"),IF(X85&lt;=W85,"À temps","En retard")))</f>
        <v/>
      </c>
      <c r="Z85" s="17" t="n"/>
      <c r="AA85" s="14">
        <f>IF($B85="","",IF(OR(T85="X",AD85&lt;&gt;""),0,MAX(0,MIN(Q85,'Critères et poids'!$C$38*INT((TODAY()-IF(Z85&lt;&gt;"",Z85,INT($A85)))/7)))))</f>
        <v/>
      </c>
      <c r="AB85" s="14">
        <f>IF($B85="","",MAX(0,S85-AA85))</f>
        <v/>
      </c>
      <c r="AC85" s="9">
        <f>IF($B85="","",IF(T85="X","X",IF(AB85&gt;='Critères et poids'!$C$29,"A",IF(AB85&gt;='Critères et poids'!$C$30,"B","C"))))</f>
        <v/>
      </c>
      <c r="AD85" s="4" t="n"/>
      <c r="AE85" s="18" t="n"/>
      <c r="AF85" s="6" t="n"/>
      <c r="AH85">
        <f>IF($A85="","",IF(OR(WEEKDAY($A85,2)&gt;5,ROUND(MOD($A85,1)*1440,0)&gt;=ROUND('Critères et poids'!$C$37*1440,0)),WORKDAY(INT($A85),1)+ROUND('Critères et poids'!$C$36*1440,0)/1440,IF(ROUND(MOD($A85,1)*1440,0)&lt;ROUND('Critères et poids'!$C$36*1440,0),INT($A85)+ROUND('Critères et poids'!$C$36*1440,0)/1440,$A85)))</f>
        <v/>
      </c>
      <c r="AI85">
        <f>IF(AH85="","",ROUND(MOD(AH85,1)*1440,0))</f>
        <v/>
      </c>
      <c r="AJ85">
        <f>IF(T85="","",INDEX('Critères et poids'!$E$29:$E$32,MATCH(T85,'Critères et poids'!$A$29:$A$32,0)))</f>
        <v/>
      </c>
    </row>
    <row r="86">
      <c r="A86" s="13" t="n"/>
      <c r="B86" s="6" t="n"/>
      <c r="C86" s="6" t="n"/>
      <c r="D86" s="4" t="n"/>
      <c r="E86" s="4" t="n"/>
      <c r="F86" s="4" t="n"/>
      <c r="G86" s="4" t="n"/>
      <c r="H86" s="4" t="n"/>
      <c r="I86" s="4" t="n"/>
      <c r="J86" s="4" t="n"/>
      <c r="K86" s="4" t="n"/>
      <c r="L86" s="4" t="n"/>
      <c r="M86" s="4" t="n"/>
      <c r="N86" s="6" t="n"/>
      <c r="O86" s="6" t="n"/>
      <c r="P86" s="14">
        <f>IF($B86="","",(E86="Clair")*'Critères et poids'!$G$5+(E86="Partiel")*'Critères et poids'!$G$5/2+(F86="Clair")*'Critères et poids'!$G$6+(F86="Partiel")*'Critères et poids'!$G$6/2+(G86="Clair")*'Critères et poids'!$G$7+(G86="Partiel")*'Critères et poids'!$G$7/2+(H86="Clair")*'Critères et poids'!$G$8+(H86="Partiel")*'Critères et poids'!$G$8/2)</f>
        <v/>
      </c>
      <c r="Q86" s="14">
        <f>IF($B86="","",(I86="Clair")*'Critères et poids'!$G$9+(I86="Partiel")*'Critères et poids'!$G$9/2+(J86="Clair")*'Critères et poids'!$G$10+(J86="Partiel")*'Critères et poids'!$G$10/2+(K86="Clair")*'Critères et poids'!$G$11+(K86="Partiel")*'Critères et poids'!$G$11/2+(L86="Clair")*'Critères et poids'!$G$12+(L86="Partiel")*'Critères et poids'!$G$12/2+(M86="Clair")*'Critères et poids'!$G$13+(M86="Partiel")*'Critères et poids'!$G$13/2)</f>
        <v/>
      </c>
      <c r="R86" s="14">
        <f>IF($B86="","",IFERROR(VLOOKUP(N86,'Critères et poids'!$B$17:$C$20,2,FALSE),0))</f>
        <v/>
      </c>
      <c r="S86" s="9">
        <f>IF($B86="","",MAX(0,P86+Q86+R86))</f>
        <v/>
      </c>
      <c r="T86" s="9">
        <f>IF($B86="","",IF(O86&lt;&gt;"","X",IF(S86&gt;='Critères et poids'!$C$29,"A",IF(S86&gt;='Critères et poids'!$C$30,"B","C"))))</f>
        <v/>
      </c>
      <c r="U86" s="14">
        <f>IF(T86="","",INDEX('Critères et poids'!$D$29:$D$32,MATCH(T86,'Critères et poids'!$A$29:$A$32,0)))</f>
        <v/>
      </c>
      <c r="V86" s="14">
        <f>IF(T86="","",INDEX('Critères et poids'!$F$29:$F$32,MATCH(T86,'Critères et poids'!$A$29:$A$32,0)))</f>
        <v/>
      </c>
      <c r="W86" s="15">
        <f>IF(OR(AH86="",AJ86=""),"",IF(AI86+AJ86*60&lt;=ROUND('Critères et poids'!$C$37*1440,0),INT(AH86)+(AI86+AJ86*60)/1440,WORKDAY(INT(AH86),1+INT((AI86+AJ86*60-ROUND('Critères et poids'!$C$37*1440,0)-1)/(ROUND('Critères et poids'!$C$37*1440,0)-ROUND('Critères et poids'!$C$36*1440,0))))+(ROUND('Critères et poids'!$C$36*1440,0)+AI86+AJ86*60-ROUND('Critères et poids'!$C$37*1440,0)-INT((AI86+AJ86*60-ROUND('Critères et poids'!$C$37*1440,0)-1)/(ROUND('Critères et poids'!$C$37*1440,0)-ROUND('Critères et poids'!$C$36*1440,0)))*(ROUND('Critères et poids'!$C$37*1440,0)-ROUND('Critères et poids'!$C$36*1440,0)))/1440))</f>
        <v/>
      </c>
      <c r="X86" s="16" t="n"/>
      <c r="Y86" s="14">
        <f>IF(W86="","",IF(X86="",IF(NOW()&gt;W86,"En retard","En attente"),IF(X86&lt;=W86,"À temps","En retard")))</f>
        <v/>
      </c>
      <c r="Z86" s="17" t="n"/>
      <c r="AA86" s="14">
        <f>IF($B86="","",IF(OR(T86="X",AD86&lt;&gt;""),0,MAX(0,MIN(Q86,'Critères et poids'!$C$38*INT((TODAY()-IF(Z86&lt;&gt;"",Z86,INT($A86)))/7)))))</f>
        <v/>
      </c>
      <c r="AB86" s="14">
        <f>IF($B86="","",MAX(0,S86-AA86))</f>
        <v/>
      </c>
      <c r="AC86" s="9">
        <f>IF($B86="","",IF(T86="X","X",IF(AB86&gt;='Critères et poids'!$C$29,"A",IF(AB86&gt;='Critères et poids'!$C$30,"B","C"))))</f>
        <v/>
      </c>
      <c r="AD86" s="4" t="n"/>
      <c r="AE86" s="18" t="n"/>
      <c r="AF86" s="6" t="n"/>
      <c r="AH86">
        <f>IF($A86="","",IF(OR(WEEKDAY($A86,2)&gt;5,ROUND(MOD($A86,1)*1440,0)&gt;=ROUND('Critères et poids'!$C$37*1440,0)),WORKDAY(INT($A86),1)+ROUND('Critères et poids'!$C$36*1440,0)/1440,IF(ROUND(MOD($A86,1)*1440,0)&lt;ROUND('Critères et poids'!$C$36*1440,0),INT($A86)+ROUND('Critères et poids'!$C$36*1440,0)/1440,$A86)))</f>
        <v/>
      </c>
      <c r="AI86">
        <f>IF(AH86="","",ROUND(MOD(AH86,1)*1440,0))</f>
        <v/>
      </c>
      <c r="AJ86">
        <f>IF(T86="","",INDEX('Critères et poids'!$E$29:$E$32,MATCH(T86,'Critères et poids'!$A$29:$A$32,0)))</f>
        <v/>
      </c>
    </row>
    <row r="87">
      <c r="A87" s="13" t="n"/>
      <c r="B87" s="6" t="n"/>
      <c r="C87" s="6" t="n"/>
      <c r="D87" s="4" t="n"/>
      <c r="E87" s="4" t="n"/>
      <c r="F87" s="4" t="n"/>
      <c r="G87" s="4" t="n"/>
      <c r="H87" s="4" t="n"/>
      <c r="I87" s="4" t="n"/>
      <c r="J87" s="4" t="n"/>
      <c r="K87" s="4" t="n"/>
      <c r="L87" s="4" t="n"/>
      <c r="M87" s="4" t="n"/>
      <c r="N87" s="6" t="n"/>
      <c r="O87" s="6" t="n"/>
      <c r="P87" s="14">
        <f>IF($B87="","",(E87="Clair")*'Critères et poids'!$G$5+(E87="Partiel")*'Critères et poids'!$G$5/2+(F87="Clair")*'Critères et poids'!$G$6+(F87="Partiel")*'Critères et poids'!$G$6/2+(G87="Clair")*'Critères et poids'!$G$7+(G87="Partiel")*'Critères et poids'!$G$7/2+(H87="Clair")*'Critères et poids'!$G$8+(H87="Partiel")*'Critères et poids'!$G$8/2)</f>
        <v/>
      </c>
      <c r="Q87" s="14">
        <f>IF($B87="","",(I87="Clair")*'Critères et poids'!$G$9+(I87="Partiel")*'Critères et poids'!$G$9/2+(J87="Clair")*'Critères et poids'!$G$10+(J87="Partiel")*'Critères et poids'!$G$10/2+(K87="Clair")*'Critères et poids'!$G$11+(K87="Partiel")*'Critères et poids'!$G$11/2+(L87="Clair")*'Critères et poids'!$G$12+(L87="Partiel")*'Critères et poids'!$G$12/2+(M87="Clair")*'Critères et poids'!$G$13+(M87="Partiel")*'Critères et poids'!$G$13/2)</f>
        <v/>
      </c>
      <c r="R87" s="14">
        <f>IF($B87="","",IFERROR(VLOOKUP(N87,'Critères et poids'!$B$17:$C$20,2,FALSE),0))</f>
        <v/>
      </c>
      <c r="S87" s="9">
        <f>IF($B87="","",MAX(0,P87+Q87+R87))</f>
        <v/>
      </c>
      <c r="T87" s="9">
        <f>IF($B87="","",IF(O87&lt;&gt;"","X",IF(S87&gt;='Critères et poids'!$C$29,"A",IF(S87&gt;='Critères et poids'!$C$30,"B","C"))))</f>
        <v/>
      </c>
      <c r="U87" s="14">
        <f>IF(T87="","",INDEX('Critères et poids'!$D$29:$D$32,MATCH(T87,'Critères et poids'!$A$29:$A$32,0)))</f>
        <v/>
      </c>
      <c r="V87" s="14">
        <f>IF(T87="","",INDEX('Critères et poids'!$F$29:$F$32,MATCH(T87,'Critères et poids'!$A$29:$A$32,0)))</f>
        <v/>
      </c>
      <c r="W87" s="15">
        <f>IF(OR(AH87="",AJ87=""),"",IF(AI87+AJ87*60&lt;=ROUND('Critères et poids'!$C$37*1440,0),INT(AH87)+(AI87+AJ87*60)/1440,WORKDAY(INT(AH87),1+INT((AI87+AJ87*60-ROUND('Critères et poids'!$C$37*1440,0)-1)/(ROUND('Critères et poids'!$C$37*1440,0)-ROUND('Critères et poids'!$C$36*1440,0))))+(ROUND('Critères et poids'!$C$36*1440,0)+AI87+AJ87*60-ROUND('Critères et poids'!$C$37*1440,0)-INT((AI87+AJ87*60-ROUND('Critères et poids'!$C$37*1440,0)-1)/(ROUND('Critères et poids'!$C$37*1440,0)-ROUND('Critères et poids'!$C$36*1440,0)))*(ROUND('Critères et poids'!$C$37*1440,0)-ROUND('Critères et poids'!$C$36*1440,0)))/1440))</f>
        <v/>
      </c>
      <c r="X87" s="16" t="n"/>
      <c r="Y87" s="14">
        <f>IF(W87="","",IF(X87="",IF(NOW()&gt;W87,"En retard","En attente"),IF(X87&lt;=W87,"À temps","En retard")))</f>
        <v/>
      </c>
      <c r="Z87" s="17" t="n"/>
      <c r="AA87" s="14">
        <f>IF($B87="","",IF(OR(T87="X",AD87&lt;&gt;""),0,MAX(0,MIN(Q87,'Critères et poids'!$C$38*INT((TODAY()-IF(Z87&lt;&gt;"",Z87,INT($A87)))/7)))))</f>
        <v/>
      </c>
      <c r="AB87" s="14">
        <f>IF($B87="","",MAX(0,S87-AA87))</f>
        <v/>
      </c>
      <c r="AC87" s="9">
        <f>IF($B87="","",IF(T87="X","X",IF(AB87&gt;='Critères et poids'!$C$29,"A",IF(AB87&gt;='Critères et poids'!$C$30,"B","C"))))</f>
        <v/>
      </c>
      <c r="AD87" s="4" t="n"/>
      <c r="AE87" s="18" t="n"/>
      <c r="AF87" s="6" t="n"/>
      <c r="AH87">
        <f>IF($A87="","",IF(OR(WEEKDAY($A87,2)&gt;5,ROUND(MOD($A87,1)*1440,0)&gt;=ROUND('Critères et poids'!$C$37*1440,0)),WORKDAY(INT($A87),1)+ROUND('Critères et poids'!$C$36*1440,0)/1440,IF(ROUND(MOD($A87,1)*1440,0)&lt;ROUND('Critères et poids'!$C$36*1440,0),INT($A87)+ROUND('Critères et poids'!$C$36*1440,0)/1440,$A87)))</f>
        <v/>
      </c>
      <c r="AI87">
        <f>IF(AH87="","",ROUND(MOD(AH87,1)*1440,0))</f>
        <v/>
      </c>
      <c r="AJ87">
        <f>IF(T87="","",INDEX('Critères et poids'!$E$29:$E$32,MATCH(T87,'Critères et poids'!$A$29:$A$32,0)))</f>
        <v/>
      </c>
    </row>
    <row r="88">
      <c r="A88" s="13" t="n"/>
      <c r="B88" s="6" t="n"/>
      <c r="C88" s="6" t="n"/>
      <c r="D88" s="4" t="n"/>
      <c r="E88" s="4" t="n"/>
      <c r="F88" s="4" t="n"/>
      <c r="G88" s="4" t="n"/>
      <c r="H88" s="4" t="n"/>
      <c r="I88" s="4" t="n"/>
      <c r="J88" s="4" t="n"/>
      <c r="K88" s="4" t="n"/>
      <c r="L88" s="4" t="n"/>
      <c r="M88" s="4" t="n"/>
      <c r="N88" s="6" t="n"/>
      <c r="O88" s="6" t="n"/>
      <c r="P88" s="14">
        <f>IF($B88="","",(E88="Clair")*'Critères et poids'!$G$5+(E88="Partiel")*'Critères et poids'!$G$5/2+(F88="Clair")*'Critères et poids'!$G$6+(F88="Partiel")*'Critères et poids'!$G$6/2+(G88="Clair")*'Critères et poids'!$G$7+(G88="Partiel")*'Critères et poids'!$G$7/2+(H88="Clair")*'Critères et poids'!$G$8+(H88="Partiel")*'Critères et poids'!$G$8/2)</f>
        <v/>
      </c>
      <c r="Q88" s="14">
        <f>IF($B88="","",(I88="Clair")*'Critères et poids'!$G$9+(I88="Partiel")*'Critères et poids'!$G$9/2+(J88="Clair")*'Critères et poids'!$G$10+(J88="Partiel")*'Critères et poids'!$G$10/2+(K88="Clair")*'Critères et poids'!$G$11+(K88="Partiel")*'Critères et poids'!$G$11/2+(L88="Clair")*'Critères et poids'!$G$12+(L88="Partiel")*'Critères et poids'!$G$12/2+(M88="Clair")*'Critères et poids'!$G$13+(M88="Partiel")*'Critères et poids'!$G$13/2)</f>
        <v/>
      </c>
      <c r="R88" s="14">
        <f>IF($B88="","",IFERROR(VLOOKUP(N88,'Critères et poids'!$B$17:$C$20,2,FALSE),0))</f>
        <v/>
      </c>
      <c r="S88" s="9">
        <f>IF($B88="","",MAX(0,P88+Q88+R88))</f>
        <v/>
      </c>
      <c r="T88" s="9">
        <f>IF($B88="","",IF(O88&lt;&gt;"","X",IF(S88&gt;='Critères et poids'!$C$29,"A",IF(S88&gt;='Critères et poids'!$C$30,"B","C"))))</f>
        <v/>
      </c>
      <c r="U88" s="14">
        <f>IF(T88="","",INDEX('Critères et poids'!$D$29:$D$32,MATCH(T88,'Critères et poids'!$A$29:$A$32,0)))</f>
        <v/>
      </c>
      <c r="V88" s="14">
        <f>IF(T88="","",INDEX('Critères et poids'!$F$29:$F$32,MATCH(T88,'Critères et poids'!$A$29:$A$32,0)))</f>
        <v/>
      </c>
      <c r="W88" s="15">
        <f>IF(OR(AH88="",AJ88=""),"",IF(AI88+AJ88*60&lt;=ROUND('Critères et poids'!$C$37*1440,0),INT(AH88)+(AI88+AJ88*60)/1440,WORKDAY(INT(AH88),1+INT((AI88+AJ88*60-ROUND('Critères et poids'!$C$37*1440,0)-1)/(ROUND('Critères et poids'!$C$37*1440,0)-ROUND('Critères et poids'!$C$36*1440,0))))+(ROUND('Critères et poids'!$C$36*1440,0)+AI88+AJ88*60-ROUND('Critères et poids'!$C$37*1440,0)-INT((AI88+AJ88*60-ROUND('Critères et poids'!$C$37*1440,0)-1)/(ROUND('Critères et poids'!$C$37*1440,0)-ROUND('Critères et poids'!$C$36*1440,0)))*(ROUND('Critères et poids'!$C$37*1440,0)-ROUND('Critères et poids'!$C$36*1440,0)))/1440))</f>
        <v/>
      </c>
      <c r="X88" s="16" t="n"/>
      <c r="Y88" s="14">
        <f>IF(W88="","",IF(X88="",IF(NOW()&gt;W88,"En retard","En attente"),IF(X88&lt;=W88,"À temps","En retard")))</f>
        <v/>
      </c>
      <c r="Z88" s="17" t="n"/>
      <c r="AA88" s="14">
        <f>IF($B88="","",IF(OR(T88="X",AD88&lt;&gt;""),0,MAX(0,MIN(Q88,'Critères et poids'!$C$38*INT((TODAY()-IF(Z88&lt;&gt;"",Z88,INT($A88)))/7)))))</f>
        <v/>
      </c>
      <c r="AB88" s="14">
        <f>IF($B88="","",MAX(0,S88-AA88))</f>
        <v/>
      </c>
      <c r="AC88" s="9">
        <f>IF($B88="","",IF(T88="X","X",IF(AB88&gt;='Critères et poids'!$C$29,"A",IF(AB88&gt;='Critères et poids'!$C$30,"B","C"))))</f>
        <v/>
      </c>
      <c r="AD88" s="4" t="n"/>
      <c r="AE88" s="18" t="n"/>
      <c r="AF88" s="6" t="n"/>
      <c r="AH88">
        <f>IF($A88="","",IF(OR(WEEKDAY($A88,2)&gt;5,ROUND(MOD($A88,1)*1440,0)&gt;=ROUND('Critères et poids'!$C$37*1440,0)),WORKDAY(INT($A88),1)+ROUND('Critères et poids'!$C$36*1440,0)/1440,IF(ROUND(MOD($A88,1)*1440,0)&lt;ROUND('Critères et poids'!$C$36*1440,0),INT($A88)+ROUND('Critères et poids'!$C$36*1440,0)/1440,$A88)))</f>
        <v/>
      </c>
      <c r="AI88">
        <f>IF(AH88="","",ROUND(MOD(AH88,1)*1440,0))</f>
        <v/>
      </c>
      <c r="AJ88">
        <f>IF(T88="","",INDEX('Critères et poids'!$E$29:$E$32,MATCH(T88,'Critères et poids'!$A$29:$A$32,0)))</f>
        <v/>
      </c>
    </row>
    <row r="89">
      <c r="A89" s="13" t="n"/>
      <c r="B89" s="6" t="n"/>
      <c r="C89" s="6" t="n"/>
      <c r="D89" s="4" t="n"/>
      <c r="E89" s="4" t="n"/>
      <c r="F89" s="4" t="n"/>
      <c r="G89" s="4" t="n"/>
      <c r="H89" s="4" t="n"/>
      <c r="I89" s="4" t="n"/>
      <c r="J89" s="4" t="n"/>
      <c r="K89" s="4" t="n"/>
      <c r="L89" s="4" t="n"/>
      <c r="M89" s="4" t="n"/>
      <c r="N89" s="6" t="n"/>
      <c r="O89" s="6" t="n"/>
      <c r="P89" s="14">
        <f>IF($B89="","",(E89="Clair")*'Critères et poids'!$G$5+(E89="Partiel")*'Critères et poids'!$G$5/2+(F89="Clair")*'Critères et poids'!$G$6+(F89="Partiel")*'Critères et poids'!$G$6/2+(G89="Clair")*'Critères et poids'!$G$7+(G89="Partiel")*'Critères et poids'!$G$7/2+(H89="Clair")*'Critères et poids'!$G$8+(H89="Partiel")*'Critères et poids'!$G$8/2)</f>
        <v/>
      </c>
      <c r="Q89" s="14">
        <f>IF($B89="","",(I89="Clair")*'Critères et poids'!$G$9+(I89="Partiel")*'Critères et poids'!$G$9/2+(J89="Clair")*'Critères et poids'!$G$10+(J89="Partiel")*'Critères et poids'!$G$10/2+(K89="Clair")*'Critères et poids'!$G$11+(K89="Partiel")*'Critères et poids'!$G$11/2+(L89="Clair")*'Critères et poids'!$G$12+(L89="Partiel")*'Critères et poids'!$G$12/2+(M89="Clair")*'Critères et poids'!$G$13+(M89="Partiel")*'Critères et poids'!$G$13/2)</f>
        <v/>
      </c>
      <c r="R89" s="14">
        <f>IF($B89="","",IFERROR(VLOOKUP(N89,'Critères et poids'!$B$17:$C$20,2,FALSE),0))</f>
        <v/>
      </c>
      <c r="S89" s="9">
        <f>IF($B89="","",MAX(0,P89+Q89+R89))</f>
        <v/>
      </c>
      <c r="T89" s="9">
        <f>IF($B89="","",IF(O89&lt;&gt;"","X",IF(S89&gt;='Critères et poids'!$C$29,"A",IF(S89&gt;='Critères et poids'!$C$30,"B","C"))))</f>
        <v/>
      </c>
      <c r="U89" s="14">
        <f>IF(T89="","",INDEX('Critères et poids'!$D$29:$D$32,MATCH(T89,'Critères et poids'!$A$29:$A$32,0)))</f>
        <v/>
      </c>
      <c r="V89" s="14">
        <f>IF(T89="","",INDEX('Critères et poids'!$F$29:$F$32,MATCH(T89,'Critères et poids'!$A$29:$A$32,0)))</f>
        <v/>
      </c>
      <c r="W89" s="15">
        <f>IF(OR(AH89="",AJ89=""),"",IF(AI89+AJ89*60&lt;=ROUND('Critères et poids'!$C$37*1440,0),INT(AH89)+(AI89+AJ89*60)/1440,WORKDAY(INT(AH89),1+INT((AI89+AJ89*60-ROUND('Critères et poids'!$C$37*1440,0)-1)/(ROUND('Critères et poids'!$C$37*1440,0)-ROUND('Critères et poids'!$C$36*1440,0))))+(ROUND('Critères et poids'!$C$36*1440,0)+AI89+AJ89*60-ROUND('Critères et poids'!$C$37*1440,0)-INT((AI89+AJ89*60-ROUND('Critères et poids'!$C$37*1440,0)-1)/(ROUND('Critères et poids'!$C$37*1440,0)-ROUND('Critères et poids'!$C$36*1440,0)))*(ROUND('Critères et poids'!$C$37*1440,0)-ROUND('Critères et poids'!$C$36*1440,0)))/1440))</f>
        <v/>
      </c>
      <c r="X89" s="16" t="n"/>
      <c r="Y89" s="14">
        <f>IF(W89="","",IF(X89="",IF(NOW()&gt;W89,"En retard","En attente"),IF(X89&lt;=W89,"À temps","En retard")))</f>
        <v/>
      </c>
      <c r="Z89" s="17" t="n"/>
      <c r="AA89" s="14">
        <f>IF($B89="","",IF(OR(T89="X",AD89&lt;&gt;""),0,MAX(0,MIN(Q89,'Critères et poids'!$C$38*INT((TODAY()-IF(Z89&lt;&gt;"",Z89,INT($A89)))/7)))))</f>
        <v/>
      </c>
      <c r="AB89" s="14">
        <f>IF($B89="","",MAX(0,S89-AA89))</f>
        <v/>
      </c>
      <c r="AC89" s="9">
        <f>IF($B89="","",IF(T89="X","X",IF(AB89&gt;='Critères et poids'!$C$29,"A",IF(AB89&gt;='Critères et poids'!$C$30,"B","C"))))</f>
        <v/>
      </c>
      <c r="AD89" s="4" t="n"/>
      <c r="AE89" s="18" t="n"/>
      <c r="AF89" s="6" t="n"/>
      <c r="AH89">
        <f>IF($A89="","",IF(OR(WEEKDAY($A89,2)&gt;5,ROUND(MOD($A89,1)*1440,0)&gt;=ROUND('Critères et poids'!$C$37*1440,0)),WORKDAY(INT($A89),1)+ROUND('Critères et poids'!$C$36*1440,0)/1440,IF(ROUND(MOD($A89,1)*1440,0)&lt;ROUND('Critères et poids'!$C$36*1440,0),INT($A89)+ROUND('Critères et poids'!$C$36*1440,0)/1440,$A89)))</f>
        <v/>
      </c>
      <c r="AI89">
        <f>IF(AH89="","",ROUND(MOD(AH89,1)*1440,0))</f>
        <v/>
      </c>
      <c r="AJ89">
        <f>IF(T89="","",INDEX('Critères et poids'!$E$29:$E$32,MATCH(T89,'Critères et poids'!$A$29:$A$32,0)))</f>
        <v/>
      </c>
    </row>
    <row r="90">
      <c r="A90" s="13" t="n"/>
      <c r="B90" s="6" t="n"/>
      <c r="C90" s="6" t="n"/>
      <c r="D90" s="4" t="n"/>
      <c r="E90" s="4" t="n"/>
      <c r="F90" s="4" t="n"/>
      <c r="G90" s="4" t="n"/>
      <c r="H90" s="4" t="n"/>
      <c r="I90" s="4" t="n"/>
      <c r="J90" s="4" t="n"/>
      <c r="K90" s="4" t="n"/>
      <c r="L90" s="4" t="n"/>
      <c r="M90" s="4" t="n"/>
      <c r="N90" s="6" t="n"/>
      <c r="O90" s="6" t="n"/>
      <c r="P90" s="14">
        <f>IF($B90="","",(E90="Clair")*'Critères et poids'!$G$5+(E90="Partiel")*'Critères et poids'!$G$5/2+(F90="Clair")*'Critères et poids'!$G$6+(F90="Partiel")*'Critères et poids'!$G$6/2+(G90="Clair")*'Critères et poids'!$G$7+(G90="Partiel")*'Critères et poids'!$G$7/2+(H90="Clair")*'Critères et poids'!$G$8+(H90="Partiel")*'Critères et poids'!$G$8/2)</f>
        <v/>
      </c>
      <c r="Q90" s="14">
        <f>IF($B90="","",(I90="Clair")*'Critères et poids'!$G$9+(I90="Partiel")*'Critères et poids'!$G$9/2+(J90="Clair")*'Critères et poids'!$G$10+(J90="Partiel")*'Critères et poids'!$G$10/2+(K90="Clair")*'Critères et poids'!$G$11+(K90="Partiel")*'Critères et poids'!$G$11/2+(L90="Clair")*'Critères et poids'!$G$12+(L90="Partiel")*'Critères et poids'!$G$12/2+(M90="Clair")*'Critères et poids'!$G$13+(M90="Partiel")*'Critères et poids'!$G$13/2)</f>
        <v/>
      </c>
      <c r="R90" s="14">
        <f>IF($B90="","",IFERROR(VLOOKUP(N90,'Critères et poids'!$B$17:$C$20,2,FALSE),0))</f>
        <v/>
      </c>
      <c r="S90" s="9">
        <f>IF($B90="","",MAX(0,P90+Q90+R90))</f>
        <v/>
      </c>
      <c r="T90" s="9">
        <f>IF($B90="","",IF(O90&lt;&gt;"","X",IF(S90&gt;='Critères et poids'!$C$29,"A",IF(S90&gt;='Critères et poids'!$C$30,"B","C"))))</f>
        <v/>
      </c>
      <c r="U90" s="14">
        <f>IF(T90="","",INDEX('Critères et poids'!$D$29:$D$32,MATCH(T90,'Critères et poids'!$A$29:$A$32,0)))</f>
        <v/>
      </c>
      <c r="V90" s="14">
        <f>IF(T90="","",INDEX('Critères et poids'!$F$29:$F$32,MATCH(T90,'Critères et poids'!$A$29:$A$32,0)))</f>
        <v/>
      </c>
      <c r="W90" s="15">
        <f>IF(OR(AH90="",AJ90=""),"",IF(AI90+AJ90*60&lt;=ROUND('Critères et poids'!$C$37*1440,0),INT(AH90)+(AI90+AJ90*60)/1440,WORKDAY(INT(AH90),1+INT((AI90+AJ90*60-ROUND('Critères et poids'!$C$37*1440,0)-1)/(ROUND('Critères et poids'!$C$37*1440,0)-ROUND('Critères et poids'!$C$36*1440,0))))+(ROUND('Critères et poids'!$C$36*1440,0)+AI90+AJ90*60-ROUND('Critères et poids'!$C$37*1440,0)-INT((AI90+AJ90*60-ROUND('Critères et poids'!$C$37*1440,0)-1)/(ROUND('Critères et poids'!$C$37*1440,0)-ROUND('Critères et poids'!$C$36*1440,0)))*(ROUND('Critères et poids'!$C$37*1440,0)-ROUND('Critères et poids'!$C$36*1440,0)))/1440))</f>
        <v/>
      </c>
      <c r="X90" s="16" t="n"/>
      <c r="Y90" s="14">
        <f>IF(W90="","",IF(X90="",IF(NOW()&gt;W90,"En retard","En attente"),IF(X90&lt;=W90,"À temps","En retard")))</f>
        <v/>
      </c>
      <c r="Z90" s="17" t="n"/>
      <c r="AA90" s="14">
        <f>IF($B90="","",IF(OR(T90="X",AD90&lt;&gt;""),0,MAX(0,MIN(Q90,'Critères et poids'!$C$38*INT((TODAY()-IF(Z90&lt;&gt;"",Z90,INT($A90)))/7)))))</f>
        <v/>
      </c>
      <c r="AB90" s="14">
        <f>IF($B90="","",MAX(0,S90-AA90))</f>
        <v/>
      </c>
      <c r="AC90" s="9">
        <f>IF($B90="","",IF(T90="X","X",IF(AB90&gt;='Critères et poids'!$C$29,"A",IF(AB90&gt;='Critères et poids'!$C$30,"B","C"))))</f>
        <v/>
      </c>
      <c r="AD90" s="4" t="n"/>
      <c r="AE90" s="18" t="n"/>
      <c r="AF90" s="6" t="n"/>
      <c r="AH90">
        <f>IF($A90="","",IF(OR(WEEKDAY($A90,2)&gt;5,ROUND(MOD($A90,1)*1440,0)&gt;=ROUND('Critères et poids'!$C$37*1440,0)),WORKDAY(INT($A90),1)+ROUND('Critères et poids'!$C$36*1440,0)/1440,IF(ROUND(MOD($A90,1)*1440,0)&lt;ROUND('Critères et poids'!$C$36*1440,0),INT($A90)+ROUND('Critères et poids'!$C$36*1440,0)/1440,$A90)))</f>
        <v/>
      </c>
      <c r="AI90">
        <f>IF(AH90="","",ROUND(MOD(AH90,1)*1440,0))</f>
        <v/>
      </c>
      <c r="AJ90">
        <f>IF(T90="","",INDEX('Critères et poids'!$E$29:$E$32,MATCH(T90,'Critères et poids'!$A$29:$A$32,0)))</f>
        <v/>
      </c>
    </row>
    <row r="91">
      <c r="A91" s="13" t="n"/>
      <c r="B91" s="6" t="n"/>
      <c r="C91" s="6" t="n"/>
      <c r="D91" s="4" t="n"/>
      <c r="E91" s="4" t="n"/>
      <c r="F91" s="4" t="n"/>
      <c r="G91" s="4" t="n"/>
      <c r="H91" s="4" t="n"/>
      <c r="I91" s="4" t="n"/>
      <c r="J91" s="4" t="n"/>
      <c r="K91" s="4" t="n"/>
      <c r="L91" s="4" t="n"/>
      <c r="M91" s="4" t="n"/>
      <c r="N91" s="6" t="n"/>
      <c r="O91" s="6" t="n"/>
      <c r="P91" s="14">
        <f>IF($B91="","",(E91="Clair")*'Critères et poids'!$G$5+(E91="Partiel")*'Critères et poids'!$G$5/2+(F91="Clair")*'Critères et poids'!$G$6+(F91="Partiel")*'Critères et poids'!$G$6/2+(G91="Clair")*'Critères et poids'!$G$7+(G91="Partiel")*'Critères et poids'!$G$7/2+(H91="Clair")*'Critères et poids'!$G$8+(H91="Partiel")*'Critères et poids'!$G$8/2)</f>
        <v/>
      </c>
      <c r="Q91" s="14">
        <f>IF($B91="","",(I91="Clair")*'Critères et poids'!$G$9+(I91="Partiel")*'Critères et poids'!$G$9/2+(J91="Clair")*'Critères et poids'!$G$10+(J91="Partiel")*'Critères et poids'!$G$10/2+(K91="Clair")*'Critères et poids'!$G$11+(K91="Partiel")*'Critères et poids'!$G$11/2+(L91="Clair")*'Critères et poids'!$G$12+(L91="Partiel")*'Critères et poids'!$G$12/2+(M91="Clair")*'Critères et poids'!$G$13+(M91="Partiel")*'Critères et poids'!$G$13/2)</f>
        <v/>
      </c>
      <c r="R91" s="14">
        <f>IF($B91="","",IFERROR(VLOOKUP(N91,'Critères et poids'!$B$17:$C$20,2,FALSE),0))</f>
        <v/>
      </c>
      <c r="S91" s="9">
        <f>IF($B91="","",MAX(0,P91+Q91+R91))</f>
        <v/>
      </c>
      <c r="T91" s="9">
        <f>IF($B91="","",IF(O91&lt;&gt;"","X",IF(S91&gt;='Critères et poids'!$C$29,"A",IF(S91&gt;='Critères et poids'!$C$30,"B","C"))))</f>
        <v/>
      </c>
      <c r="U91" s="14">
        <f>IF(T91="","",INDEX('Critères et poids'!$D$29:$D$32,MATCH(T91,'Critères et poids'!$A$29:$A$32,0)))</f>
        <v/>
      </c>
      <c r="V91" s="14">
        <f>IF(T91="","",INDEX('Critères et poids'!$F$29:$F$32,MATCH(T91,'Critères et poids'!$A$29:$A$32,0)))</f>
        <v/>
      </c>
      <c r="W91" s="15">
        <f>IF(OR(AH91="",AJ91=""),"",IF(AI91+AJ91*60&lt;=ROUND('Critères et poids'!$C$37*1440,0),INT(AH91)+(AI91+AJ91*60)/1440,WORKDAY(INT(AH91),1+INT((AI91+AJ91*60-ROUND('Critères et poids'!$C$37*1440,0)-1)/(ROUND('Critères et poids'!$C$37*1440,0)-ROUND('Critères et poids'!$C$36*1440,0))))+(ROUND('Critères et poids'!$C$36*1440,0)+AI91+AJ91*60-ROUND('Critères et poids'!$C$37*1440,0)-INT((AI91+AJ91*60-ROUND('Critères et poids'!$C$37*1440,0)-1)/(ROUND('Critères et poids'!$C$37*1440,0)-ROUND('Critères et poids'!$C$36*1440,0)))*(ROUND('Critères et poids'!$C$37*1440,0)-ROUND('Critères et poids'!$C$36*1440,0)))/1440))</f>
        <v/>
      </c>
      <c r="X91" s="16" t="n"/>
      <c r="Y91" s="14">
        <f>IF(W91="","",IF(X91="",IF(NOW()&gt;W91,"En retard","En attente"),IF(X91&lt;=W91,"À temps","En retard")))</f>
        <v/>
      </c>
      <c r="Z91" s="17" t="n"/>
      <c r="AA91" s="14">
        <f>IF($B91="","",IF(OR(T91="X",AD91&lt;&gt;""),0,MAX(0,MIN(Q91,'Critères et poids'!$C$38*INT((TODAY()-IF(Z91&lt;&gt;"",Z91,INT($A91)))/7)))))</f>
        <v/>
      </c>
      <c r="AB91" s="14">
        <f>IF($B91="","",MAX(0,S91-AA91))</f>
        <v/>
      </c>
      <c r="AC91" s="9">
        <f>IF($B91="","",IF(T91="X","X",IF(AB91&gt;='Critères et poids'!$C$29,"A",IF(AB91&gt;='Critères et poids'!$C$30,"B","C"))))</f>
        <v/>
      </c>
      <c r="AD91" s="4" t="n"/>
      <c r="AE91" s="18" t="n"/>
      <c r="AF91" s="6" t="n"/>
      <c r="AH91">
        <f>IF($A91="","",IF(OR(WEEKDAY($A91,2)&gt;5,ROUND(MOD($A91,1)*1440,0)&gt;=ROUND('Critères et poids'!$C$37*1440,0)),WORKDAY(INT($A91),1)+ROUND('Critères et poids'!$C$36*1440,0)/1440,IF(ROUND(MOD($A91,1)*1440,0)&lt;ROUND('Critères et poids'!$C$36*1440,0),INT($A91)+ROUND('Critères et poids'!$C$36*1440,0)/1440,$A91)))</f>
        <v/>
      </c>
      <c r="AI91">
        <f>IF(AH91="","",ROUND(MOD(AH91,1)*1440,0))</f>
        <v/>
      </c>
      <c r="AJ91">
        <f>IF(T91="","",INDEX('Critères et poids'!$E$29:$E$32,MATCH(T91,'Critères et poids'!$A$29:$A$32,0)))</f>
        <v/>
      </c>
    </row>
    <row r="92">
      <c r="A92" s="13" t="n"/>
      <c r="B92" s="6" t="n"/>
      <c r="C92" s="6" t="n"/>
      <c r="D92" s="4" t="n"/>
      <c r="E92" s="4" t="n"/>
      <c r="F92" s="4" t="n"/>
      <c r="G92" s="4" t="n"/>
      <c r="H92" s="4" t="n"/>
      <c r="I92" s="4" t="n"/>
      <c r="J92" s="4" t="n"/>
      <c r="K92" s="4" t="n"/>
      <c r="L92" s="4" t="n"/>
      <c r="M92" s="4" t="n"/>
      <c r="N92" s="6" t="n"/>
      <c r="O92" s="6" t="n"/>
      <c r="P92" s="14">
        <f>IF($B92="","",(E92="Clair")*'Critères et poids'!$G$5+(E92="Partiel")*'Critères et poids'!$G$5/2+(F92="Clair")*'Critères et poids'!$G$6+(F92="Partiel")*'Critères et poids'!$G$6/2+(G92="Clair")*'Critères et poids'!$G$7+(G92="Partiel")*'Critères et poids'!$G$7/2+(H92="Clair")*'Critères et poids'!$G$8+(H92="Partiel")*'Critères et poids'!$G$8/2)</f>
        <v/>
      </c>
      <c r="Q92" s="14">
        <f>IF($B92="","",(I92="Clair")*'Critères et poids'!$G$9+(I92="Partiel")*'Critères et poids'!$G$9/2+(J92="Clair")*'Critères et poids'!$G$10+(J92="Partiel")*'Critères et poids'!$G$10/2+(K92="Clair")*'Critères et poids'!$G$11+(K92="Partiel")*'Critères et poids'!$G$11/2+(L92="Clair")*'Critères et poids'!$G$12+(L92="Partiel")*'Critères et poids'!$G$12/2+(M92="Clair")*'Critères et poids'!$G$13+(M92="Partiel")*'Critères et poids'!$G$13/2)</f>
        <v/>
      </c>
      <c r="R92" s="14">
        <f>IF($B92="","",IFERROR(VLOOKUP(N92,'Critères et poids'!$B$17:$C$20,2,FALSE),0))</f>
        <v/>
      </c>
      <c r="S92" s="9">
        <f>IF($B92="","",MAX(0,P92+Q92+R92))</f>
        <v/>
      </c>
      <c r="T92" s="9">
        <f>IF($B92="","",IF(O92&lt;&gt;"","X",IF(S92&gt;='Critères et poids'!$C$29,"A",IF(S92&gt;='Critères et poids'!$C$30,"B","C"))))</f>
        <v/>
      </c>
      <c r="U92" s="14">
        <f>IF(T92="","",INDEX('Critères et poids'!$D$29:$D$32,MATCH(T92,'Critères et poids'!$A$29:$A$32,0)))</f>
        <v/>
      </c>
      <c r="V92" s="14">
        <f>IF(T92="","",INDEX('Critères et poids'!$F$29:$F$32,MATCH(T92,'Critères et poids'!$A$29:$A$32,0)))</f>
        <v/>
      </c>
      <c r="W92" s="15">
        <f>IF(OR(AH92="",AJ92=""),"",IF(AI92+AJ92*60&lt;=ROUND('Critères et poids'!$C$37*1440,0),INT(AH92)+(AI92+AJ92*60)/1440,WORKDAY(INT(AH92),1+INT((AI92+AJ92*60-ROUND('Critères et poids'!$C$37*1440,0)-1)/(ROUND('Critères et poids'!$C$37*1440,0)-ROUND('Critères et poids'!$C$36*1440,0))))+(ROUND('Critères et poids'!$C$36*1440,0)+AI92+AJ92*60-ROUND('Critères et poids'!$C$37*1440,0)-INT((AI92+AJ92*60-ROUND('Critères et poids'!$C$37*1440,0)-1)/(ROUND('Critères et poids'!$C$37*1440,0)-ROUND('Critères et poids'!$C$36*1440,0)))*(ROUND('Critères et poids'!$C$37*1440,0)-ROUND('Critères et poids'!$C$36*1440,0)))/1440))</f>
        <v/>
      </c>
      <c r="X92" s="16" t="n"/>
      <c r="Y92" s="14">
        <f>IF(W92="","",IF(X92="",IF(NOW()&gt;W92,"En retard","En attente"),IF(X92&lt;=W92,"À temps","En retard")))</f>
        <v/>
      </c>
      <c r="Z92" s="17" t="n"/>
      <c r="AA92" s="14">
        <f>IF($B92="","",IF(OR(T92="X",AD92&lt;&gt;""),0,MAX(0,MIN(Q92,'Critères et poids'!$C$38*INT((TODAY()-IF(Z92&lt;&gt;"",Z92,INT($A92)))/7)))))</f>
        <v/>
      </c>
      <c r="AB92" s="14">
        <f>IF($B92="","",MAX(0,S92-AA92))</f>
        <v/>
      </c>
      <c r="AC92" s="9">
        <f>IF($B92="","",IF(T92="X","X",IF(AB92&gt;='Critères et poids'!$C$29,"A",IF(AB92&gt;='Critères et poids'!$C$30,"B","C"))))</f>
        <v/>
      </c>
      <c r="AD92" s="4" t="n"/>
      <c r="AE92" s="18" t="n"/>
      <c r="AF92" s="6" t="n"/>
      <c r="AH92">
        <f>IF($A92="","",IF(OR(WEEKDAY($A92,2)&gt;5,ROUND(MOD($A92,1)*1440,0)&gt;=ROUND('Critères et poids'!$C$37*1440,0)),WORKDAY(INT($A92),1)+ROUND('Critères et poids'!$C$36*1440,0)/1440,IF(ROUND(MOD($A92,1)*1440,0)&lt;ROUND('Critères et poids'!$C$36*1440,0),INT($A92)+ROUND('Critères et poids'!$C$36*1440,0)/1440,$A92)))</f>
        <v/>
      </c>
      <c r="AI92">
        <f>IF(AH92="","",ROUND(MOD(AH92,1)*1440,0))</f>
        <v/>
      </c>
      <c r="AJ92">
        <f>IF(T92="","",INDEX('Critères et poids'!$E$29:$E$32,MATCH(T92,'Critères et poids'!$A$29:$A$32,0)))</f>
        <v/>
      </c>
    </row>
    <row r="93">
      <c r="A93" s="13" t="n"/>
      <c r="B93" s="6" t="n"/>
      <c r="C93" s="6" t="n"/>
      <c r="D93" s="4" t="n"/>
      <c r="E93" s="4" t="n"/>
      <c r="F93" s="4" t="n"/>
      <c r="G93" s="4" t="n"/>
      <c r="H93" s="4" t="n"/>
      <c r="I93" s="4" t="n"/>
      <c r="J93" s="4" t="n"/>
      <c r="K93" s="4" t="n"/>
      <c r="L93" s="4" t="n"/>
      <c r="M93" s="4" t="n"/>
      <c r="N93" s="6" t="n"/>
      <c r="O93" s="6" t="n"/>
      <c r="P93" s="14">
        <f>IF($B93="","",(E93="Clair")*'Critères et poids'!$G$5+(E93="Partiel")*'Critères et poids'!$G$5/2+(F93="Clair")*'Critères et poids'!$G$6+(F93="Partiel")*'Critères et poids'!$G$6/2+(G93="Clair")*'Critères et poids'!$G$7+(G93="Partiel")*'Critères et poids'!$G$7/2+(H93="Clair")*'Critères et poids'!$G$8+(H93="Partiel")*'Critères et poids'!$G$8/2)</f>
        <v/>
      </c>
      <c r="Q93" s="14">
        <f>IF($B93="","",(I93="Clair")*'Critères et poids'!$G$9+(I93="Partiel")*'Critères et poids'!$G$9/2+(J93="Clair")*'Critères et poids'!$G$10+(J93="Partiel")*'Critères et poids'!$G$10/2+(K93="Clair")*'Critères et poids'!$G$11+(K93="Partiel")*'Critères et poids'!$G$11/2+(L93="Clair")*'Critères et poids'!$G$12+(L93="Partiel")*'Critères et poids'!$G$12/2+(M93="Clair")*'Critères et poids'!$G$13+(M93="Partiel")*'Critères et poids'!$G$13/2)</f>
        <v/>
      </c>
      <c r="R93" s="14">
        <f>IF($B93="","",IFERROR(VLOOKUP(N93,'Critères et poids'!$B$17:$C$20,2,FALSE),0))</f>
        <v/>
      </c>
      <c r="S93" s="9">
        <f>IF($B93="","",MAX(0,P93+Q93+R93))</f>
        <v/>
      </c>
      <c r="T93" s="9">
        <f>IF($B93="","",IF(O93&lt;&gt;"","X",IF(S93&gt;='Critères et poids'!$C$29,"A",IF(S93&gt;='Critères et poids'!$C$30,"B","C"))))</f>
        <v/>
      </c>
      <c r="U93" s="14">
        <f>IF(T93="","",INDEX('Critères et poids'!$D$29:$D$32,MATCH(T93,'Critères et poids'!$A$29:$A$32,0)))</f>
        <v/>
      </c>
      <c r="V93" s="14">
        <f>IF(T93="","",INDEX('Critères et poids'!$F$29:$F$32,MATCH(T93,'Critères et poids'!$A$29:$A$32,0)))</f>
        <v/>
      </c>
      <c r="W93" s="15">
        <f>IF(OR(AH93="",AJ93=""),"",IF(AI93+AJ93*60&lt;=ROUND('Critères et poids'!$C$37*1440,0),INT(AH93)+(AI93+AJ93*60)/1440,WORKDAY(INT(AH93),1+INT((AI93+AJ93*60-ROUND('Critères et poids'!$C$37*1440,0)-1)/(ROUND('Critères et poids'!$C$37*1440,0)-ROUND('Critères et poids'!$C$36*1440,0))))+(ROUND('Critères et poids'!$C$36*1440,0)+AI93+AJ93*60-ROUND('Critères et poids'!$C$37*1440,0)-INT((AI93+AJ93*60-ROUND('Critères et poids'!$C$37*1440,0)-1)/(ROUND('Critères et poids'!$C$37*1440,0)-ROUND('Critères et poids'!$C$36*1440,0)))*(ROUND('Critères et poids'!$C$37*1440,0)-ROUND('Critères et poids'!$C$36*1440,0)))/1440))</f>
        <v/>
      </c>
      <c r="X93" s="16" t="n"/>
      <c r="Y93" s="14">
        <f>IF(W93="","",IF(X93="",IF(NOW()&gt;W93,"En retard","En attente"),IF(X93&lt;=W93,"À temps","En retard")))</f>
        <v/>
      </c>
      <c r="Z93" s="17" t="n"/>
      <c r="AA93" s="14">
        <f>IF($B93="","",IF(OR(T93="X",AD93&lt;&gt;""),0,MAX(0,MIN(Q93,'Critères et poids'!$C$38*INT((TODAY()-IF(Z93&lt;&gt;"",Z93,INT($A93)))/7)))))</f>
        <v/>
      </c>
      <c r="AB93" s="14">
        <f>IF($B93="","",MAX(0,S93-AA93))</f>
        <v/>
      </c>
      <c r="AC93" s="9">
        <f>IF($B93="","",IF(T93="X","X",IF(AB93&gt;='Critères et poids'!$C$29,"A",IF(AB93&gt;='Critères et poids'!$C$30,"B","C"))))</f>
        <v/>
      </c>
      <c r="AD93" s="4" t="n"/>
      <c r="AE93" s="18" t="n"/>
      <c r="AF93" s="6" t="n"/>
      <c r="AH93">
        <f>IF($A93="","",IF(OR(WEEKDAY($A93,2)&gt;5,ROUND(MOD($A93,1)*1440,0)&gt;=ROUND('Critères et poids'!$C$37*1440,0)),WORKDAY(INT($A93),1)+ROUND('Critères et poids'!$C$36*1440,0)/1440,IF(ROUND(MOD($A93,1)*1440,0)&lt;ROUND('Critères et poids'!$C$36*1440,0),INT($A93)+ROUND('Critères et poids'!$C$36*1440,0)/1440,$A93)))</f>
        <v/>
      </c>
      <c r="AI93">
        <f>IF(AH93="","",ROUND(MOD(AH93,1)*1440,0))</f>
        <v/>
      </c>
      <c r="AJ93">
        <f>IF(T93="","",INDEX('Critères et poids'!$E$29:$E$32,MATCH(T93,'Critères et poids'!$A$29:$A$32,0)))</f>
        <v/>
      </c>
    </row>
    <row r="94">
      <c r="A94" s="13" t="n"/>
      <c r="B94" s="6" t="n"/>
      <c r="C94" s="6" t="n"/>
      <c r="D94" s="4" t="n"/>
      <c r="E94" s="4" t="n"/>
      <c r="F94" s="4" t="n"/>
      <c r="G94" s="4" t="n"/>
      <c r="H94" s="4" t="n"/>
      <c r="I94" s="4" t="n"/>
      <c r="J94" s="4" t="n"/>
      <c r="K94" s="4" t="n"/>
      <c r="L94" s="4" t="n"/>
      <c r="M94" s="4" t="n"/>
      <c r="N94" s="6" t="n"/>
      <c r="O94" s="6" t="n"/>
      <c r="P94" s="14">
        <f>IF($B94="","",(E94="Clair")*'Critères et poids'!$G$5+(E94="Partiel")*'Critères et poids'!$G$5/2+(F94="Clair")*'Critères et poids'!$G$6+(F94="Partiel")*'Critères et poids'!$G$6/2+(G94="Clair")*'Critères et poids'!$G$7+(G94="Partiel")*'Critères et poids'!$G$7/2+(H94="Clair")*'Critères et poids'!$G$8+(H94="Partiel")*'Critères et poids'!$G$8/2)</f>
        <v/>
      </c>
      <c r="Q94" s="14">
        <f>IF($B94="","",(I94="Clair")*'Critères et poids'!$G$9+(I94="Partiel")*'Critères et poids'!$G$9/2+(J94="Clair")*'Critères et poids'!$G$10+(J94="Partiel")*'Critères et poids'!$G$10/2+(K94="Clair")*'Critères et poids'!$G$11+(K94="Partiel")*'Critères et poids'!$G$11/2+(L94="Clair")*'Critères et poids'!$G$12+(L94="Partiel")*'Critères et poids'!$G$12/2+(M94="Clair")*'Critères et poids'!$G$13+(M94="Partiel")*'Critères et poids'!$G$13/2)</f>
        <v/>
      </c>
      <c r="R94" s="14">
        <f>IF($B94="","",IFERROR(VLOOKUP(N94,'Critères et poids'!$B$17:$C$20,2,FALSE),0))</f>
        <v/>
      </c>
      <c r="S94" s="9">
        <f>IF($B94="","",MAX(0,P94+Q94+R94))</f>
        <v/>
      </c>
      <c r="T94" s="9">
        <f>IF($B94="","",IF(O94&lt;&gt;"","X",IF(S94&gt;='Critères et poids'!$C$29,"A",IF(S94&gt;='Critères et poids'!$C$30,"B","C"))))</f>
        <v/>
      </c>
      <c r="U94" s="14">
        <f>IF(T94="","",INDEX('Critères et poids'!$D$29:$D$32,MATCH(T94,'Critères et poids'!$A$29:$A$32,0)))</f>
        <v/>
      </c>
      <c r="V94" s="14">
        <f>IF(T94="","",INDEX('Critères et poids'!$F$29:$F$32,MATCH(T94,'Critères et poids'!$A$29:$A$32,0)))</f>
        <v/>
      </c>
      <c r="W94" s="15">
        <f>IF(OR(AH94="",AJ94=""),"",IF(AI94+AJ94*60&lt;=ROUND('Critères et poids'!$C$37*1440,0),INT(AH94)+(AI94+AJ94*60)/1440,WORKDAY(INT(AH94),1+INT((AI94+AJ94*60-ROUND('Critères et poids'!$C$37*1440,0)-1)/(ROUND('Critères et poids'!$C$37*1440,0)-ROUND('Critères et poids'!$C$36*1440,0))))+(ROUND('Critères et poids'!$C$36*1440,0)+AI94+AJ94*60-ROUND('Critères et poids'!$C$37*1440,0)-INT((AI94+AJ94*60-ROUND('Critères et poids'!$C$37*1440,0)-1)/(ROUND('Critères et poids'!$C$37*1440,0)-ROUND('Critères et poids'!$C$36*1440,0)))*(ROUND('Critères et poids'!$C$37*1440,0)-ROUND('Critères et poids'!$C$36*1440,0)))/1440))</f>
        <v/>
      </c>
      <c r="X94" s="16" t="n"/>
      <c r="Y94" s="14">
        <f>IF(W94="","",IF(X94="",IF(NOW()&gt;W94,"En retard","En attente"),IF(X94&lt;=W94,"À temps","En retard")))</f>
        <v/>
      </c>
      <c r="Z94" s="17" t="n"/>
      <c r="AA94" s="14">
        <f>IF($B94="","",IF(OR(T94="X",AD94&lt;&gt;""),0,MAX(0,MIN(Q94,'Critères et poids'!$C$38*INT((TODAY()-IF(Z94&lt;&gt;"",Z94,INT($A94)))/7)))))</f>
        <v/>
      </c>
      <c r="AB94" s="14">
        <f>IF($B94="","",MAX(0,S94-AA94))</f>
        <v/>
      </c>
      <c r="AC94" s="9">
        <f>IF($B94="","",IF(T94="X","X",IF(AB94&gt;='Critères et poids'!$C$29,"A",IF(AB94&gt;='Critères et poids'!$C$30,"B","C"))))</f>
        <v/>
      </c>
      <c r="AD94" s="4" t="n"/>
      <c r="AE94" s="18" t="n"/>
      <c r="AF94" s="6" t="n"/>
      <c r="AH94">
        <f>IF($A94="","",IF(OR(WEEKDAY($A94,2)&gt;5,ROUND(MOD($A94,1)*1440,0)&gt;=ROUND('Critères et poids'!$C$37*1440,0)),WORKDAY(INT($A94),1)+ROUND('Critères et poids'!$C$36*1440,0)/1440,IF(ROUND(MOD($A94,1)*1440,0)&lt;ROUND('Critères et poids'!$C$36*1440,0),INT($A94)+ROUND('Critères et poids'!$C$36*1440,0)/1440,$A94)))</f>
        <v/>
      </c>
      <c r="AI94">
        <f>IF(AH94="","",ROUND(MOD(AH94,1)*1440,0))</f>
        <v/>
      </c>
      <c r="AJ94">
        <f>IF(T94="","",INDEX('Critères et poids'!$E$29:$E$32,MATCH(T94,'Critères et poids'!$A$29:$A$32,0)))</f>
        <v/>
      </c>
    </row>
    <row r="95">
      <c r="A95" s="13" t="n"/>
      <c r="B95" s="6" t="n"/>
      <c r="C95" s="6" t="n"/>
      <c r="D95" s="4" t="n"/>
      <c r="E95" s="4" t="n"/>
      <c r="F95" s="4" t="n"/>
      <c r="G95" s="4" t="n"/>
      <c r="H95" s="4" t="n"/>
      <c r="I95" s="4" t="n"/>
      <c r="J95" s="4" t="n"/>
      <c r="K95" s="4" t="n"/>
      <c r="L95" s="4" t="n"/>
      <c r="M95" s="4" t="n"/>
      <c r="N95" s="6" t="n"/>
      <c r="O95" s="6" t="n"/>
      <c r="P95" s="14">
        <f>IF($B95="","",(E95="Clair")*'Critères et poids'!$G$5+(E95="Partiel")*'Critères et poids'!$G$5/2+(F95="Clair")*'Critères et poids'!$G$6+(F95="Partiel")*'Critères et poids'!$G$6/2+(G95="Clair")*'Critères et poids'!$G$7+(G95="Partiel")*'Critères et poids'!$G$7/2+(H95="Clair")*'Critères et poids'!$G$8+(H95="Partiel")*'Critères et poids'!$G$8/2)</f>
        <v/>
      </c>
      <c r="Q95" s="14">
        <f>IF($B95="","",(I95="Clair")*'Critères et poids'!$G$9+(I95="Partiel")*'Critères et poids'!$G$9/2+(J95="Clair")*'Critères et poids'!$G$10+(J95="Partiel")*'Critères et poids'!$G$10/2+(K95="Clair")*'Critères et poids'!$G$11+(K95="Partiel")*'Critères et poids'!$G$11/2+(L95="Clair")*'Critères et poids'!$G$12+(L95="Partiel")*'Critères et poids'!$G$12/2+(M95="Clair")*'Critères et poids'!$G$13+(M95="Partiel")*'Critères et poids'!$G$13/2)</f>
        <v/>
      </c>
      <c r="R95" s="14">
        <f>IF($B95="","",IFERROR(VLOOKUP(N95,'Critères et poids'!$B$17:$C$20,2,FALSE),0))</f>
        <v/>
      </c>
      <c r="S95" s="9">
        <f>IF($B95="","",MAX(0,P95+Q95+R95))</f>
        <v/>
      </c>
      <c r="T95" s="9">
        <f>IF($B95="","",IF(O95&lt;&gt;"","X",IF(S95&gt;='Critères et poids'!$C$29,"A",IF(S95&gt;='Critères et poids'!$C$30,"B","C"))))</f>
        <v/>
      </c>
      <c r="U95" s="14">
        <f>IF(T95="","",INDEX('Critères et poids'!$D$29:$D$32,MATCH(T95,'Critères et poids'!$A$29:$A$32,0)))</f>
        <v/>
      </c>
      <c r="V95" s="14">
        <f>IF(T95="","",INDEX('Critères et poids'!$F$29:$F$32,MATCH(T95,'Critères et poids'!$A$29:$A$32,0)))</f>
        <v/>
      </c>
      <c r="W95" s="15">
        <f>IF(OR(AH95="",AJ95=""),"",IF(AI95+AJ95*60&lt;=ROUND('Critères et poids'!$C$37*1440,0),INT(AH95)+(AI95+AJ95*60)/1440,WORKDAY(INT(AH95),1+INT((AI95+AJ95*60-ROUND('Critères et poids'!$C$37*1440,0)-1)/(ROUND('Critères et poids'!$C$37*1440,0)-ROUND('Critères et poids'!$C$36*1440,0))))+(ROUND('Critères et poids'!$C$36*1440,0)+AI95+AJ95*60-ROUND('Critères et poids'!$C$37*1440,0)-INT((AI95+AJ95*60-ROUND('Critères et poids'!$C$37*1440,0)-1)/(ROUND('Critères et poids'!$C$37*1440,0)-ROUND('Critères et poids'!$C$36*1440,0)))*(ROUND('Critères et poids'!$C$37*1440,0)-ROUND('Critères et poids'!$C$36*1440,0)))/1440))</f>
        <v/>
      </c>
      <c r="X95" s="16" t="n"/>
      <c r="Y95" s="14">
        <f>IF(W95="","",IF(X95="",IF(NOW()&gt;W95,"En retard","En attente"),IF(X95&lt;=W95,"À temps","En retard")))</f>
        <v/>
      </c>
      <c r="Z95" s="17" t="n"/>
      <c r="AA95" s="14">
        <f>IF($B95="","",IF(OR(T95="X",AD95&lt;&gt;""),0,MAX(0,MIN(Q95,'Critères et poids'!$C$38*INT((TODAY()-IF(Z95&lt;&gt;"",Z95,INT($A95)))/7)))))</f>
        <v/>
      </c>
      <c r="AB95" s="14">
        <f>IF($B95="","",MAX(0,S95-AA95))</f>
        <v/>
      </c>
      <c r="AC95" s="9">
        <f>IF($B95="","",IF(T95="X","X",IF(AB95&gt;='Critères et poids'!$C$29,"A",IF(AB95&gt;='Critères et poids'!$C$30,"B","C"))))</f>
        <v/>
      </c>
      <c r="AD95" s="4" t="n"/>
      <c r="AE95" s="18" t="n"/>
      <c r="AF95" s="6" t="n"/>
      <c r="AH95">
        <f>IF($A95="","",IF(OR(WEEKDAY($A95,2)&gt;5,ROUND(MOD($A95,1)*1440,0)&gt;=ROUND('Critères et poids'!$C$37*1440,0)),WORKDAY(INT($A95),1)+ROUND('Critères et poids'!$C$36*1440,0)/1440,IF(ROUND(MOD($A95,1)*1440,0)&lt;ROUND('Critères et poids'!$C$36*1440,0),INT($A95)+ROUND('Critères et poids'!$C$36*1440,0)/1440,$A95)))</f>
        <v/>
      </c>
      <c r="AI95">
        <f>IF(AH95="","",ROUND(MOD(AH95,1)*1440,0))</f>
        <v/>
      </c>
      <c r="AJ95">
        <f>IF(T95="","",INDEX('Critères et poids'!$E$29:$E$32,MATCH(T95,'Critères et poids'!$A$29:$A$32,0)))</f>
        <v/>
      </c>
    </row>
    <row r="96">
      <c r="A96" s="13" t="n"/>
      <c r="B96" s="6" t="n"/>
      <c r="C96" s="6" t="n"/>
      <c r="D96" s="4" t="n"/>
      <c r="E96" s="4" t="n"/>
      <c r="F96" s="4" t="n"/>
      <c r="G96" s="4" t="n"/>
      <c r="H96" s="4" t="n"/>
      <c r="I96" s="4" t="n"/>
      <c r="J96" s="4" t="n"/>
      <c r="K96" s="4" t="n"/>
      <c r="L96" s="4" t="n"/>
      <c r="M96" s="4" t="n"/>
      <c r="N96" s="6" t="n"/>
      <c r="O96" s="6" t="n"/>
      <c r="P96" s="14">
        <f>IF($B96="","",(E96="Clair")*'Critères et poids'!$G$5+(E96="Partiel")*'Critères et poids'!$G$5/2+(F96="Clair")*'Critères et poids'!$G$6+(F96="Partiel")*'Critères et poids'!$G$6/2+(G96="Clair")*'Critères et poids'!$G$7+(G96="Partiel")*'Critères et poids'!$G$7/2+(H96="Clair")*'Critères et poids'!$G$8+(H96="Partiel")*'Critères et poids'!$G$8/2)</f>
        <v/>
      </c>
      <c r="Q96" s="14">
        <f>IF($B96="","",(I96="Clair")*'Critères et poids'!$G$9+(I96="Partiel")*'Critères et poids'!$G$9/2+(J96="Clair")*'Critères et poids'!$G$10+(J96="Partiel")*'Critères et poids'!$G$10/2+(K96="Clair")*'Critères et poids'!$G$11+(K96="Partiel")*'Critères et poids'!$G$11/2+(L96="Clair")*'Critères et poids'!$G$12+(L96="Partiel")*'Critères et poids'!$G$12/2+(M96="Clair")*'Critères et poids'!$G$13+(M96="Partiel")*'Critères et poids'!$G$13/2)</f>
        <v/>
      </c>
      <c r="R96" s="14">
        <f>IF($B96="","",IFERROR(VLOOKUP(N96,'Critères et poids'!$B$17:$C$20,2,FALSE),0))</f>
        <v/>
      </c>
      <c r="S96" s="9">
        <f>IF($B96="","",MAX(0,P96+Q96+R96))</f>
        <v/>
      </c>
      <c r="T96" s="9">
        <f>IF($B96="","",IF(O96&lt;&gt;"","X",IF(S96&gt;='Critères et poids'!$C$29,"A",IF(S96&gt;='Critères et poids'!$C$30,"B","C"))))</f>
        <v/>
      </c>
      <c r="U96" s="14">
        <f>IF(T96="","",INDEX('Critères et poids'!$D$29:$D$32,MATCH(T96,'Critères et poids'!$A$29:$A$32,0)))</f>
        <v/>
      </c>
      <c r="V96" s="14">
        <f>IF(T96="","",INDEX('Critères et poids'!$F$29:$F$32,MATCH(T96,'Critères et poids'!$A$29:$A$32,0)))</f>
        <v/>
      </c>
      <c r="W96" s="15">
        <f>IF(OR(AH96="",AJ96=""),"",IF(AI96+AJ96*60&lt;=ROUND('Critères et poids'!$C$37*1440,0),INT(AH96)+(AI96+AJ96*60)/1440,WORKDAY(INT(AH96),1+INT((AI96+AJ96*60-ROUND('Critères et poids'!$C$37*1440,0)-1)/(ROUND('Critères et poids'!$C$37*1440,0)-ROUND('Critères et poids'!$C$36*1440,0))))+(ROUND('Critères et poids'!$C$36*1440,0)+AI96+AJ96*60-ROUND('Critères et poids'!$C$37*1440,0)-INT((AI96+AJ96*60-ROUND('Critères et poids'!$C$37*1440,0)-1)/(ROUND('Critères et poids'!$C$37*1440,0)-ROUND('Critères et poids'!$C$36*1440,0)))*(ROUND('Critères et poids'!$C$37*1440,0)-ROUND('Critères et poids'!$C$36*1440,0)))/1440))</f>
        <v/>
      </c>
      <c r="X96" s="16" t="n"/>
      <c r="Y96" s="14">
        <f>IF(W96="","",IF(X96="",IF(NOW()&gt;W96,"En retard","En attente"),IF(X96&lt;=W96,"À temps","En retard")))</f>
        <v/>
      </c>
      <c r="Z96" s="17" t="n"/>
      <c r="AA96" s="14">
        <f>IF($B96="","",IF(OR(T96="X",AD96&lt;&gt;""),0,MAX(0,MIN(Q96,'Critères et poids'!$C$38*INT((TODAY()-IF(Z96&lt;&gt;"",Z96,INT($A96)))/7)))))</f>
        <v/>
      </c>
      <c r="AB96" s="14">
        <f>IF($B96="","",MAX(0,S96-AA96))</f>
        <v/>
      </c>
      <c r="AC96" s="9">
        <f>IF($B96="","",IF(T96="X","X",IF(AB96&gt;='Critères et poids'!$C$29,"A",IF(AB96&gt;='Critères et poids'!$C$30,"B","C"))))</f>
        <v/>
      </c>
      <c r="AD96" s="4" t="n"/>
      <c r="AE96" s="18" t="n"/>
      <c r="AF96" s="6" t="n"/>
      <c r="AH96">
        <f>IF($A96="","",IF(OR(WEEKDAY($A96,2)&gt;5,ROUND(MOD($A96,1)*1440,0)&gt;=ROUND('Critères et poids'!$C$37*1440,0)),WORKDAY(INT($A96),1)+ROUND('Critères et poids'!$C$36*1440,0)/1440,IF(ROUND(MOD($A96,1)*1440,0)&lt;ROUND('Critères et poids'!$C$36*1440,0),INT($A96)+ROUND('Critères et poids'!$C$36*1440,0)/1440,$A96)))</f>
        <v/>
      </c>
      <c r="AI96">
        <f>IF(AH96="","",ROUND(MOD(AH96,1)*1440,0))</f>
        <v/>
      </c>
      <c r="AJ96">
        <f>IF(T96="","",INDEX('Critères et poids'!$E$29:$E$32,MATCH(T96,'Critères et poids'!$A$29:$A$32,0)))</f>
        <v/>
      </c>
    </row>
    <row r="97">
      <c r="A97" s="13" t="n"/>
      <c r="B97" s="6" t="n"/>
      <c r="C97" s="6" t="n"/>
      <c r="D97" s="4" t="n"/>
      <c r="E97" s="4" t="n"/>
      <c r="F97" s="4" t="n"/>
      <c r="G97" s="4" t="n"/>
      <c r="H97" s="4" t="n"/>
      <c r="I97" s="4" t="n"/>
      <c r="J97" s="4" t="n"/>
      <c r="K97" s="4" t="n"/>
      <c r="L97" s="4" t="n"/>
      <c r="M97" s="4" t="n"/>
      <c r="N97" s="6" t="n"/>
      <c r="O97" s="6" t="n"/>
      <c r="P97" s="14">
        <f>IF($B97="","",(E97="Clair")*'Critères et poids'!$G$5+(E97="Partiel")*'Critères et poids'!$G$5/2+(F97="Clair")*'Critères et poids'!$G$6+(F97="Partiel")*'Critères et poids'!$G$6/2+(G97="Clair")*'Critères et poids'!$G$7+(G97="Partiel")*'Critères et poids'!$G$7/2+(H97="Clair")*'Critères et poids'!$G$8+(H97="Partiel")*'Critères et poids'!$G$8/2)</f>
        <v/>
      </c>
      <c r="Q97" s="14">
        <f>IF($B97="","",(I97="Clair")*'Critères et poids'!$G$9+(I97="Partiel")*'Critères et poids'!$G$9/2+(J97="Clair")*'Critères et poids'!$G$10+(J97="Partiel")*'Critères et poids'!$G$10/2+(K97="Clair")*'Critères et poids'!$G$11+(K97="Partiel")*'Critères et poids'!$G$11/2+(L97="Clair")*'Critères et poids'!$G$12+(L97="Partiel")*'Critères et poids'!$G$12/2+(M97="Clair")*'Critères et poids'!$G$13+(M97="Partiel")*'Critères et poids'!$G$13/2)</f>
        <v/>
      </c>
      <c r="R97" s="14">
        <f>IF($B97="","",IFERROR(VLOOKUP(N97,'Critères et poids'!$B$17:$C$20,2,FALSE),0))</f>
        <v/>
      </c>
      <c r="S97" s="9">
        <f>IF($B97="","",MAX(0,P97+Q97+R97))</f>
        <v/>
      </c>
      <c r="T97" s="9">
        <f>IF($B97="","",IF(O97&lt;&gt;"","X",IF(S97&gt;='Critères et poids'!$C$29,"A",IF(S97&gt;='Critères et poids'!$C$30,"B","C"))))</f>
        <v/>
      </c>
      <c r="U97" s="14">
        <f>IF(T97="","",INDEX('Critères et poids'!$D$29:$D$32,MATCH(T97,'Critères et poids'!$A$29:$A$32,0)))</f>
        <v/>
      </c>
      <c r="V97" s="14">
        <f>IF(T97="","",INDEX('Critères et poids'!$F$29:$F$32,MATCH(T97,'Critères et poids'!$A$29:$A$32,0)))</f>
        <v/>
      </c>
      <c r="W97" s="15">
        <f>IF(OR(AH97="",AJ97=""),"",IF(AI97+AJ97*60&lt;=ROUND('Critères et poids'!$C$37*1440,0),INT(AH97)+(AI97+AJ97*60)/1440,WORKDAY(INT(AH97),1+INT((AI97+AJ97*60-ROUND('Critères et poids'!$C$37*1440,0)-1)/(ROUND('Critères et poids'!$C$37*1440,0)-ROUND('Critères et poids'!$C$36*1440,0))))+(ROUND('Critères et poids'!$C$36*1440,0)+AI97+AJ97*60-ROUND('Critères et poids'!$C$37*1440,0)-INT((AI97+AJ97*60-ROUND('Critères et poids'!$C$37*1440,0)-1)/(ROUND('Critères et poids'!$C$37*1440,0)-ROUND('Critères et poids'!$C$36*1440,0)))*(ROUND('Critères et poids'!$C$37*1440,0)-ROUND('Critères et poids'!$C$36*1440,0)))/1440))</f>
        <v/>
      </c>
      <c r="X97" s="16" t="n"/>
      <c r="Y97" s="14">
        <f>IF(W97="","",IF(X97="",IF(NOW()&gt;W97,"En retard","En attente"),IF(X97&lt;=W97,"À temps","En retard")))</f>
        <v/>
      </c>
      <c r="Z97" s="17" t="n"/>
      <c r="AA97" s="14">
        <f>IF($B97="","",IF(OR(T97="X",AD97&lt;&gt;""),0,MAX(0,MIN(Q97,'Critères et poids'!$C$38*INT((TODAY()-IF(Z97&lt;&gt;"",Z97,INT($A97)))/7)))))</f>
        <v/>
      </c>
      <c r="AB97" s="14">
        <f>IF($B97="","",MAX(0,S97-AA97))</f>
        <v/>
      </c>
      <c r="AC97" s="9">
        <f>IF($B97="","",IF(T97="X","X",IF(AB97&gt;='Critères et poids'!$C$29,"A",IF(AB97&gt;='Critères et poids'!$C$30,"B","C"))))</f>
        <v/>
      </c>
      <c r="AD97" s="4" t="n"/>
      <c r="AE97" s="18" t="n"/>
      <c r="AF97" s="6" t="n"/>
      <c r="AH97">
        <f>IF($A97="","",IF(OR(WEEKDAY($A97,2)&gt;5,ROUND(MOD($A97,1)*1440,0)&gt;=ROUND('Critères et poids'!$C$37*1440,0)),WORKDAY(INT($A97),1)+ROUND('Critères et poids'!$C$36*1440,0)/1440,IF(ROUND(MOD($A97,1)*1440,0)&lt;ROUND('Critères et poids'!$C$36*1440,0),INT($A97)+ROUND('Critères et poids'!$C$36*1440,0)/1440,$A97)))</f>
        <v/>
      </c>
      <c r="AI97">
        <f>IF(AH97="","",ROUND(MOD(AH97,1)*1440,0))</f>
        <v/>
      </c>
      <c r="AJ97">
        <f>IF(T97="","",INDEX('Critères et poids'!$E$29:$E$32,MATCH(T97,'Critères et poids'!$A$29:$A$32,0)))</f>
        <v/>
      </c>
    </row>
    <row r="98">
      <c r="A98" s="13" t="n"/>
      <c r="B98" s="6" t="n"/>
      <c r="C98" s="6" t="n"/>
      <c r="D98" s="4" t="n"/>
      <c r="E98" s="4" t="n"/>
      <c r="F98" s="4" t="n"/>
      <c r="G98" s="4" t="n"/>
      <c r="H98" s="4" t="n"/>
      <c r="I98" s="4" t="n"/>
      <c r="J98" s="4" t="n"/>
      <c r="K98" s="4" t="n"/>
      <c r="L98" s="4" t="n"/>
      <c r="M98" s="4" t="n"/>
      <c r="N98" s="6" t="n"/>
      <c r="O98" s="6" t="n"/>
      <c r="P98" s="14">
        <f>IF($B98="","",(E98="Clair")*'Critères et poids'!$G$5+(E98="Partiel")*'Critères et poids'!$G$5/2+(F98="Clair")*'Critères et poids'!$G$6+(F98="Partiel")*'Critères et poids'!$G$6/2+(G98="Clair")*'Critères et poids'!$G$7+(G98="Partiel")*'Critères et poids'!$G$7/2+(H98="Clair")*'Critères et poids'!$G$8+(H98="Partiel")*'Critères et poids'!$G$8/2)</f>
        <v/>
      </c>
      <c r="Q98" s="14">
        <f>IF($B98="","",(I98="Clair")*'Critères et poids'!$G$9+(I98="Partiel")*'Critères et poids'!$G$9/2+(J98="Clair")*'Critères et poids'!$G$10+(J98="Partiel")*'Critères et poids'!$G$10/2+(K98="Clair")*'Critères et poids'!$G$11+(K98="Partiel")*'Critères et poids'!$G$11/2+(L98="Clair")*'Critères et poids'!$G$12+(L98="Partiel")*'Critères et poids'!$G$12/2+(M98="Clair")*'Critères et poids'!$G$13+(M98="Partiel")*'Critères et poids'!$G$13/2)</f>
        <v/>
      </c>
      <c r="R98" s="14">
        <f>IF($B98="","",IFERROR(VLOOKUP(N98,'Critères et poids'!$B$17:$C$20,2,FALSE),0))</f>
        <v/>
      </c>
      <c r="S98" s="9">
        <f>IF($B98="","",MAX(0,P98+Q98+R98))</f>
        <v/>
      </c>
      <c r="T98" s="9">
        <f>IF($B98="","",IF(O98&lt;&gt;"","X",IF(S98&gt;='Critères et poids'!$C$29,"A",IF(S98&gt;='Critères et poids'!$C$30,"B","C"))))</f>
        <v/>
      </c>
      <c r="U98" s="14">
        <f>IF(T98="","",INDEX('Critères et poids'!$D$29:$D$32,MATCH(T98,'Critères et poids'!$A$29:$A$32,0)))</f>
        <v/>
      </c>
      <c r="V98" s="14">
        <f>IF(T98="","",INDEX('Critères et poids'!$F$29:$F$32,MATCH(T98,'Critères et poids'!$A$29:$A$32,0)))</f>
        <v/>
      </c>
      <c r="W98" s="15">
        <f>IF(OR(AH98="",AJ98=""),"",IF(AI98+AJ98*60&lt;=ROUND('Critères et poids'!$C$37*1440,0),INT(AH98)+(AI98+AJ98*60)/1440,WORKDAY(INT(AH98),1+INT((AI98+AJ98*60-ROUND('Critères et poids'!$C$37*1440,0)-1)/(ROUND('Critères et poids'!$C$37*1440,0)-ROUND('Critères et poids'!$C$36*1440,0))))+(ROUND('Critères et poids'!$C$36*1440,0)+AI98+AJ98*60-ROUND('Critères et poids'!$C$37*1440,0)-INT((AI98+AJ98*60-ROUND('Critères et poids'!$C$37*1440,0)-1)/(ROUND('Critères et poids'!$C$37*1440,0)-ROUND('Critères et poids'!$C$36*1440,0)))*(ROUND('Critères et poids'!$C$37*1440,0)-ROUND('Critères et poids'!$C$36*1440,0)))/1440))</f>
        <v/>
      </c>
      <c r="X98" s="16" t="n"/>
      <c r="Y98" s="14">
        <f>IF(W98="","",IF(X98="",IF(NOW()&gt;W98,"En retard","En attente"),IF(X98&lt;=W98,"À temps","En retard")))</f>
        <v/>
      </c>
      <c r="Z98" s="17" t="n"/>
      <c r="AA98" s="14">
        <f>IF($B98="","",IF(OR(T98="X",AD98&lt;&gt;""),0,MAX(0,MIN(Q98,'Critères et poids'!$C$38*INT((TODAY()-IF(Z98&lt;&gt;"",Z98,INT($A98)))/7)))))</f>
        <v/>
      </c>
      <c r="AB98" s="14">
        <f>IF($B98="","",MAX(0,S98-AA98))</f>
        <v/>
      </c>
      <c r="AC98" s="9">
        <f>IF($B98="","",IF(T98="X","X",IF(AB98&gt;='Critères et poids'!$C$29,"A",IF(AB98&gt;='Critères et poids'!$C$30,"B","C"))))</f>
        <v/>
      </c>
      <c r="AD98" s="4" t="n"/>
      <c r="AE98" s="18" t="n"/>
      <c r="AF98" s="6" t="n"/>
      <c r="AH98">
        <f>IF($A98="","",IF(OR(WEEKDAY($A98,2)&gt;5,ROUND(MOD($A98,1)*1440,0)&gt;=ROUND('Critères et poids'!$C$37*1440,0)),WORKDAY(INT($A98),1)+ROUND('Critères et poids'!$C$36*1440,0)/1440,IF(ROUND(MOD($A98,1)*1440,0)&lt;ROUND('Critères et poids'!$C$36*1440,0),INT($A98)+ROUND('Critères et poids'!$C$36*1440,0)/1440,$A98)))</f>
        <v/>
      </c>
      <c r="AI98">
        <f>IF(AH98="","",ROUND(MOD(AH98,1)*1440,0))</f>
        <v/>
      </c>
      <c r="AJ98">
        <f>IF(T98="","",INDEX('Critères et poids'!$E$29:$E$32,MATCH(T98,'Critères et poids'!$A$29:$A$32,0)))</f>
        <v/>
      </c>
    </row>
    <row r="99">
      <c r="A99" s="13" t="n"/>
      <c r="B99" s="6" t="n"/>
      <c r="C99" s="6" t="n"/>
      <c r="D99" s="4" t="n"/>
      <c r="E99" s="4" t="n"/>
      <c r="F99" s="4" t="n"/>
      <c r="G99" s="4" t="n"/>
      <c r="H99" s="4" t="n"/>
      <c r="I99" s="4" t="n"/>
      <c r="J99" s="4" t="n"/>
      <c r="K99" s="4" t="n"/>
      <c r="L99" s="4" t="n"/>
      <c r="M99" s="4" t="n"/>
      <c r="N99" s="6" t="n"/>
      <c r="O99" s="6" t="n"/>
      <c r="P99" s="14">
        <f>IF($B99="","",(E99="Clair")*'Critères et poids'!$G$5+(E99="Partiel")*'Critères et poids'!$G$5/2+(F99="Clair")*'Critères et poids'!$G$6+(F99="Partiel")*'Critères et poids'!$G$6/2+(G99="Clair")*'Critères et poids'!$G$7+(G99="Partiel")*'Critères et poids'!$G$7/2+(H99="Clair")*'Critères et poids'!$G$8+(H99="Partiel")*'Critères et poids'!$G$8/2)</f>
        <v/>
      </c>
      <c r="Q99" s="14">
        <f>IF($B99="","",(I99="Clair")*'Critères et poids'!$G$9+(I99="Partiel")*'Critères et poids'!$G$9/2+(J99="Clair")*'Critères et poids'!$G$10+(J99="Partiel")*'Critères et poids'!$G$10/2+(K99="Clair")*'Critères et poids'!$G$11+(K99="Partiel")*'Critères et poids'!$G$11/2+(L99="Clair")*'Critères et poids'!$G$12+(L99="Partiel")*'Critères et poids'!$G$12/2+(M99="Clair")*'Critères et poids'!$G$13+(M99="Partiel")*'Critères et poids'!$G$13/2)</f>
        <v/>
      </c>
      <c r="R99" s="14">
        <f>IF($B99="","",IFERROR(VLOOKUP(N99,'Critères et poids'!$B$17:$C$20,2,FALSE),0))</f>
        <v/>
      </c>
      <c r="S99" s="9">
        <f>IF($B99="","",MAX(0,P99+Q99+R99))</f>
        <v/>
      </c>
      <c r="T99" s="9">
        <f>IF($B99="","",IF(O99&lt;&gt;"","X",IF(S99&gt;='Critères et poids'!$C$29,"A",IF(S99&gt;='Critères et poids'!$C$30,"B","C"))))</f>
        <v/>
      </c>
      <c r="U99" s="14">
        <f>IF(T99="","",INDEX('Critères et poids'!$D$29:$D$32,MATCH(T99,'Critères et poids'!$A$29:$A$32,0)))</f>
        <v/>
      </c>
      <c r="V99" s="14">
        <f>IF(T99="","",INDEX('Critères et poids'!$F$29:$F$32,MATCH(T99,'Critères et poids'!$A$29:$A$32,0)))</f>
        <v/>
      </c>
      <c r="W99" s="15">
        <f>IF(OR(AH99="",AJ99=""),"",IF(AI99+AJ99*60&lt;=ROUND('Critères et poids'!$C$37*1440,0),INT(AH99)+(AI99+AJ99*60)/1440,WORKDAY(INT(AH99),1+INT((AI99+AJ99*60-ROUND('Critères et poids'!$C$37*1440,0)-1)/(ROUND('Critères et poids'!$C$37*1440,0)-ROUND('Critères et poids'!$C$36*1440,0))))+(ROUND('Critères et poids'!$C$36*1440,0)+AI99+AJ99*60-ROUND('Critères et poids'!$C$37*1440,0)-INT((AI99+AJ99*60-ROUND('Critères et poids'!$C$37*1440,0)-1)/(ROUND('Critères et poids'!$C$37*1440,0)-ROUND('Critères et poids'!$C$36*1440,0)))*(ROUND('Critères et poids'!$C$37*1440,0)-ROUND('Critères et poids'!$C$36*1440,0)))/1440))</f>
        <v/>
      </c>
      <c r="X99" s="16" t="n"/>
      <c r="Y99" s="14">
        <f>IF(W99="","",IF(X99="",IF(NOW()&gt;W99,"En retard","En attente"),IF(X99&lt;=W99,"À temps","En retard")))</f>
        <v/>
      </c>
      <c r="Z99" s="17" t="n"/>
      <c r="AA99" s="14">
        <f>IF($B99="","",IF(OR(T99="X",AD99&lt;&gt;""),0,MAX(0,MIN(Q99,'Critères et poids'!$C$38*INT((TODAY()-IF(Z99&lt;&gt;"",Z99,INT($A99)))/7)))))</f>
        <v/>
      </c>
      <c r="AB99" s="14">
        <f>IF($B99="","",MAX(0,S99-AA99))</f>
        <v/>
      </c>
      <c r="AC99" s="9">
        <f>IF($B99="","",IF(T99="X","X",IF(AB99&gt;='Critères et poids'!$C$29,"A",IF(AB99&gt;='Critères et poids'!$C$30,"B","C"))))</f>
        <v/>
      </c>
      <c r="AD99" s="4" t="n"/>
      <c r="AE99" s="18" t="n"/>
      <c r="AF99" s="6" t="n"/>
      <c r="AH99">
        <f>IF($A99="","",IF(OR(WEEKDAY($A99,2)&gt;5,ROUND(MOD($A99,1)*1440,0)&gt;=ROUND('Critères et poids'!$C$37*1440,0)),WORKDAY(INT($A99),1)+ROUND('Critères et poids'!$C$36*1440,0)/1440,IF(ROUND(MOD($A99,1)*1440,0)&lt;ROUND('Critères et poids'!$C$36*1440,0),INT($A99)+ROUND('Critères et poids'!$C$36*1440,0)/1440,$A99)))</f>
        <v/>
      </c>
      <c r="AI99">
        <f>IF(AH99="","",ROUND(MOD(AH99,1)*1440,0))</f>
        <v/>
      </c>
      <c r="AJ99">
        <f>IF(T99="","",INDEX('Critères et poids'!$E$29:$E$32,MATCH(T99,'Critères et poids'!$A$29:$A$32,0)))</f>
        <v/>
      </c>
    </row>
    <row r="100">
      <c r="A100" s="13" t="n"/>
      <c r="B100" s="6" t="n"/>
      <c r="C100" s="6" t="n"/>
      <c r="D100" s="4" t="n"/>
      <c r="E100" s="4" t="n"/>
      <c r="F100" s="4" t="n"/>
      <c r="G100" s="4" t="n"/>
      <c r="H100" s="4" t="n"/>
      <c r="I100" s="4" t="n"/>
      <c r="J100" s="4" t="n"/>
      <c r="K100" s="4" t="n"/>
      <c r="L100" s="4" t="n"/>
      <c r="M100" s="4" t="n"/>
      <c r="N100" s="6" t="n"/>
      <c r="O100" s="6" t="n"/>
      <c r="P100" s="14">
        <f>IF($B100="","",(E100="Clair")*'Critères et poids'!$G$5+(E100="Partiel")*'Critères et poids'!$G$5/2+(F100="Clair")*'Critères et poids'!$G$6+(F100="Partiel")*'Critères et poids'!$G$6/2+(G100="Clair")*'Critères et poids'!$G$7+(G100="Partiel")*'Critères et poids'!$G$7/2+(H100="Clair")*'Critères et poids'!$G$8+(H100="Partiel")*'Critères et poids'!$G$8/2)</f>
        <v/>
      </c>
      <c r="Q100" s="14">
        <f>IF($B100="","",(I100="Clair")*'Critères et poids'!$G$9+(I100="Partiel")*'Critères et poids'!$G$9/2+(J100="Clair")*'Critères et poids'!$G$10+(J100="Partiel")*'Critères et poids'!$G$10/2+(K100="Clair")*'Critères et poids'!$G$11+(K100="Partiel")*'Critères et poids'!$G$11/2+(L100="Clair")*'Critères et poids'!$G$12+(L100="Partiel")*'Critères et poids'!$G$12/2+(M100="Clair")*'Critères et poids'!$G$13+(M100="Partiel")*'Critères et poids'!$G$13/2)</f>
        <v/>
      </c>
      <c r="R100" s="14">
        <f>IF($B100="","",IFERROR(VLOOKUP(N100,'Critères et poids'!$B$17:$C$20,2,FALSE),0))</f>
        <v/>
      </c>
      <c r="S100" s="9">
        <f>IF($B100="","",MAX(0,P100+Q100+R100))</f>
        <v/>
      </c>
      <c r="T100" s="9">
        <f>IF($B100="","",IF(O100&lt;&gt;"","X",IF(S100&gt;='Critères et poids'!$C$29,"A",IF(S100&gt;='Critères et poids'!$C$30,"B","C"))))</f>
        <v/>
      </c>
      <c r="U100" s="14">
        <f>IF(T100="","",INDEX('Critères et poids'!$D$29:$D$32,MATCH(T100,'Critères et poids'!$A$29:$A$32,0)))</f>
        <v/>
      </c>
      <c r="V100" s="14">
        <f>IF(T100="","",INDEX('Critères et poids'!$F$29:$F$32,MATCH(T100,'Critères et poids'!$A$29:$A$32,0)))</f>
        <v/>
      </c>
      <c r="W100" s="15">
        <f>IF(OR(AH100="",AJ100=""),"",IF(AI100+AJ100*60&lt;=ROUND('Critères et poids'!$C$37*1440,0),INT(AH100)+(AI100+AJ100*60)/1440,WORKDAY(INT(AH100),1+INT((AI100+AJ100*60-ROUND('Critères et poids'!$C$37*1440,0)-1)/(ROUND('Critères et poids'!$C$37*1440,0)-ROUND('Critères et poids'!$C$36*1440,0))))+(ROUND('Critères et poids'!$C$36*1440,0)+AI100+AJ100*60-ROUND('Critères et poids'!$C$37*1440,0)-INT((AI100+AJ100*60-ROUND('Critères et poids'!$C$37*1440,0)-1)/(ROUND('Critères et poids'!$C$37*1440,0)-ROUND('Critères et poids'!$C$36*1440,0)))*(ROUND('Critères et poids'!$C$37*1440,0)-ROUND('Critères et poids'!$C$36*1440,0)))/1440))</f>
        <v/>
      </c>
      <c r="X100" s="16" t="n"/>
      <c r="Y100" s="14">
        <f>IF(W100="","",IF(X100="",IF(NOW()&gt;W100,"En retard","En attente"),IF(X100&lt;=W100,"À temps","En retard")))</f>
        <v/>
      </c>
      <c r="Z100" s="17" t="n"/>
      <c r="AA100" s="14">
        <f>IF($B100="","",IF(OR(T100="X",AD100&lt;&gt;""),0,MAX(0,MIN(Q100,'Critères et poids'!$C$38*INT((TODAY()-IF(Z100&lt;&gt;"",Z100,INT($A100)))/7)))))</f>
        <v/>
      </c>
      <c r="AB100" s="14">
        <f>IF($B100="","",MAX(0,S100-AA100))</f>
        <v/>
      </c>
      <c r="AC100" s="9">
        <f>IF($B100="","",IF(T100="X","X",IF(AB100&gt;='Critères et poids'!$C$29,"A",IF(AB100&gt;='Critères et poids'!$C$30,"B","C"))))</f>
        <v/>
      </c>
      <c r="AD100" s="4" t="n"/>
      <c r="AE100" s="18" t="n"/>
      <c r="AF100" s="6" t="n"/>
      <c r="AH100">
        <f>IF($A100="","",IF(OR(WEEKDAY($A100,2)&gt;5,ROUND(MOD($A100,1)*1440,0)&gt;=ROUND('Critères et poids'!$C$37*1440,0)),WORKDAY(INT($A100),1)+ROUND('Critères et poids'!$C$36*1440,0)/1440,IF(ROUND(MOD($A100,1)*1440,0)&lt;ROUND('Critères et poids'!$C$36*1440,0),INT($A100)+ROUND('Critères et poids'!$C$36*1440,0)/1440,$A100)))</f>
        <v/>
      </c>
      <c r="AI100">
        <f>IF(AH100="","",ROUND(MOD(AH100,1)*1440,0))</f>
        <v/>
      </c>
      <c r="AJ100">
        <f>IF(T100="","",INDEX('Critères et poids'!$E$29:$E$32,MATCH(T100,'Critères et poids'!$A$29:$A$32,0)))</f>
        <v/>
      </c>
    </row>
    <row r="101">
      <c r="A101" s="13" t="n"/>
      <c r="B101" s="6" t="n"/>
      <c r="C101" s="6" t="n"/>
      <c r="D101" s="4" t="n"/>
      <c r="E101" s="4" t="n"/>
      <c r="F101" s="4" t="n"/>
      <c r="G101" s="4" t="n"/>
      <c r="H101" s="4" t="n"/>
      <c r="I101" s="4" t="n"/>
      <c r="J101" s="4" t="n"/>
      <c r="K101" s="4" t="n"/>
      <c r="L101" s="4" t="n"/>
      <c r="M101" s="4" t="n"/>
      <c r="N101" s="6" t="n"/>
      <c r="O101" s="6" t="n"/>
      <c r="P101" s="14">
        <f>IF($B101="","",(E101="Clair")*'Critères et poids'!$G$5+(E101="Partiel")*'Critères et poids'!$G$5/2+(F101="Clair")*'Critères et poids'!$G$6+(F101="Partiel")*'Critères et poids'!$G$6/2+(G101="Clair")*'Critères et poids'!$G$7+(G101="Partiel")*'Critères et poids'!$G$7/2+(H101="Clair")*'Critères et poids'!$G$8+(H101="Partiel")*'Critères et poids'!$G$8/2)</f>
        <v/>
      </c>
      <c r="Q101" s="14">
        <f>IF($B101="","",(I101="Clair")*'Critères et poids'!$G$9+(I101="Partiel")*'Critères et poids'!$G$9/2+(J101="Clair")*'Critères et poids'!$G$10+(J101="Partiel")*'Critères et poids'!$G$10/2+(K101="Clair")*'Critères et poids'!$G$11+(K101="Partiel")*'Critères et poids'!$G$11/2+(L101="Clair")*'Critères et poids'!$G$12+(L101="Partiel")*'Critères et poids'!$G$12/2+(M101="Clair")*'Critères et poids'!$G$13+(M101="Partiel")*'Critères et poids'!$G$13/2)</f>
        <v/>
      </c>
      <c r="R101" s="14">
        <f>IF($B101="","",IFERROR(VLOOKUP(N101,'Critères et poids'!$B$17:$C$20,2,FALSE),0))</f>
        <v/>
      </c>
      <c r="S101" s="9">
        <f>IF($B101="","",MAX(0,P101+Q101+R101))</f>
        <v/>
      </c>
      <c r="T101" s="9">
        <f>IF($B101="","",IF(O101&lt;&gt;"","X",IF(S101&gt;='Critères et poids'!$C$29,"A",IF(S101&gt;='Critères et poids'!$C$30,"B","C"))))</f>
        <v/>
      </c>
      <c r="U101" s="14">
        <f>IF(T101="","",INDEX('Critères et poids'!$D$29:$D$32,MATCH(T101,'Critères et poids'!$A$29:$A$32,0)))</f>
        <v/>
      </c>
      <c r="V101" s="14">
        <f>IF(T101="","",INDEX('Critères et poids'!$F$29:$F$32,MATCH(T101,'Critères et poids'!$A$29:$A$32,0)))</f>
        <v/>
      </c>
      <c r="W101" s="15">
        <f>IF(OR(AH101="",AJ101=""),"",IF(AI101+AJ101*60&lt;=ROUND('Critères et poids'!$C$37*1440,0),INT(AH101)+(AI101+AJ101*60)/1440,WORKDAY(INT(AH101),1+INT((AI101+AJ101*60-ROUND('Critères et poids'!$C$37*1440,0)-1)/(ROUND('Critères et poids'!$C$37*1440,0)-ROUND('Critères et poids'!$C$36*1440,0))))+(ROUND('Critères et poids'!$C$36*1440,0)+AI101+AJ101*60-ROUND('Critères et poids'!$C$37*1440,0)-INT((AI101+AJ101*60-ROUND('Critères et poids'!$C$37*1440,0)-1)/(ROUND('Critères et poids'!$C$37*1440,0)-ROUND('Critères et poids'!$C$36*1440,0)))*(ROUND('Critères et poids'!$C$37*1440,0)-ROUND('Critères et poids'!$C$36*1440,0)))/1440))</f>
        <v/>
      </c>
      <c r="X101" s="16" t="n"/>
      <c r="Y101" s="14">
        <f>IF(W101="","",IF(X101="",IF(NOW()&gt;W101,"En retard","En attente"),IF(X101&lt;=W101,"À temps","En retard")))</f>
        <v/>
      </c>
      <c r="Z101" s="17" t="n"/>
      <c r="AA101" s="14">
        <f>IF($B101="","",IF(OR(T101="X",AD101&lt;&gt;""),0,MAX(0,MIN(Q101,'Critères et poids'!$C$38*INT((TODAY()-IF(Z101&lt;&gt;"",Z101,INT($A101)))/7)))))</f>
        <v/>
      </c>
      <c r="AB101" s="14">
        <f>IF($B101="","",MAX(0,S101-AA101))</f>
        <v/>
      </c>
      <c r="AC101" s="9">
        <f>IF($B101="","",IF(T101="X","X",IF(AB101&gt;='Critères et poids'!$C$29,"A",IF(AB101&gt;='Critères et poids'!$C$30,"B","C"))))</f>
        <v/>
      </c>
      <c r="AD101" s="4" t="n"/>
      <c r="AE101" s="18" t="n"/>
      <c r="AF101" s="6" t="n"/>
      <c r="AH101">
        <f>IF($A101="","",IF(OR(WEEKDAY($A101,2)&gt;5,ROUND(MOD($A101,1)*1440,0)&gt;=ROUND('Critères et poids'!$C$37*1440,0)),WORKDAY(INT($A101),1)+ROUND('Critères et poids'!$C$36*1440,0)/1440,IF(ROUND(MOD($A101,1)*1440,0)&lt;ROUND('Critères et poids'!$C$36*1440,0),INT($A101)+ROUND('Critères et poids'!$C$36*1440,0)/1440,$A101)))</f>
        <v/>
      </c>
      <c r="AI101">
        <f>IF(AH101="","",ROUND(MOD(AH101,1)*1440,0))</f>
        <v/>
      </c>
      <c r="AJ101">
        <f>IF(T101="","",INDEX('Critères et poids'!$E$29:$E$32,MATCH(T101,'Critères et poids'!$A$29:$A$32,0)))</f>
        <v/>
      </c>
    </row>
    <row r="102">
      <c r="A102" s="13" t="n"/>
      <c r="B102" s="6" t="n"/>
      <c r="C102" s="6" t="n"/>
      <c r="D102" s="4" t="n"/>
      <c r="E102" s="4" t="n"/>
      <c r="F102" s="4" t="n"/>
      <c r="G102" s="4" t="n"/>
      <c r="H102" s="4" t="n"/>
      <c r="I102" s="4" t="n"/>
      <c r="J102" s="4" t="n"/>
      <c r="K102" s="4" t="n"/>
      <c r="L102" s="4" t="n"/>
      <c r="M102" s="4" t="n"/>
      <c r="N102" s="6" t="n"/>
      <c r="O102" s="6" t="n"/>
      <c r="P102" s="14">
        <f>IF($B102="","",(E102="Clair")*'Critères et poids'!$G$5+(E102="Partiel")*'Critères et poids'!$G$5/2+(F102="Clair")*'Critères et poids'!$G$6+(F102="Partiel")*'Critères et poids'!$G$6/2+(G102="Clair")*'Critères et poids'!$G$7+(G102="Partiel")*'Critères et poids'!$G$7/2+(H102="Clair")*'Critères et poids'!$G$8+(H102="Partiel")*'Critères et poids'!$G$8/2)</f>
        <v/>
      </c>
      <c r="Q102" s="14">
        <f>IF($B102="","",(I102="Clair")*'Critères et poids'!$G$9+(I102="Partiel")*'Critères et poids'!$G$9/2+(J102="Clair")*'Critères et poids'!$G$10+(J102="Partiel")*'Critères et poids'!$G$10/2+(K102="Clair")*'Critères et poids'!$G$11+(K102="Partiel")*'Critères et poids'!$G$11/2+(L102="Clair")*'Critères et poids'!$G$12+(L102="Partiel")*'Critères et poids'!$G$12/2+(M102="Clair")*'Critères et poids'!$G$13+(M102="Partiel")*'Critères et poids'!$G$13/2)</f>
        <v/>
      </c>
      <c r="R102" s="14">
        <f>IF($B102="","",IFERROR(VLOOKUP(N102,'Critères et poids'!$B$17:$C$20,2,FALSE),0))</f>
        <v/>
      </c>
      <c r="S102" s="9">
        <f>IF($B102="","",MAX(0,P102+Q102+R102))</f>
        <v/>
      </c>
      <c r="T102" s="9">
        <f>IF($B102="","",IF(O102&lt;&gt;"","X",IF(S102&gt;='Critères et poids'!$C$29,"A",IF(S102&gt;='Critères et poids'!$C$30,"B","C"))))</f>
        <v/>
      </c>
      <c r="U102" s="14">
        <f>IF(T102="","",INDEX('Critères et poids'!$D$29:$D$32,MATCH(T102,'Critères et poids'!$A$29:$A$32,0)))</f>
        <v/>
      </c>
      <c r="V102" s="14">
        <f>IF(T102="","",INDEX('Critères et poids'!$F$29:$F$32,MATCH(T102,'Critères et poids'!$A$29:$A$32,0)))</f>
        <v/>
      </c>
      <c r="W102" s="15">
        <f>IF(OR(AH102="",AJ102=""),"",IF(AI102+AJ102*60&lt;=ROUND('Critères et poids'!$C$37*1440,0),INT(AH102)+(AI102+AJ102*60)/1440,WORKDAY(INT(AH102),1+INT((AI102+AJ102*60-ROUND('Critères et poids'!$C$37*1440,0)-1)/(ROUND('Critères et poids'!$C$37*1440,0)-ROUND('Critères et poids'!$C$36*1440,0))))+(ROUND('Critères et poids'!$C$36*1440,0)+AI102+AJ102*60-ROUND('Critères et poids'!$C$37*1440,0)-INT((AI102+AJ102*60-ROUND('Critères et poids'!$C$37*1440,0)-1)/(ROUND('Critères et poids'!$C$37*1440,0)-ROUND('Critères et poids'!$C$36*1440,0)))*(ROUND('Critères et poids'!$C$37*1440,0)-ROUND('Critères et poids'!$C$36*1440,0)))/1440))</f>
        <v/>
      </c>
      <c r="X102" s="16" t="n"/>
      <c r="Y102" s="14">
        <f>IF(W102="","",IF(X102="",IF(NOW()&gt;W102,"En retard","En attente"),IF(X102&lt;=W102,"À temps","En retard")))</f>
        <v/>
      </c>
      <c r="Z102" s="17" t="n"/>
      <c r="AA102" s="14">
        <f>IF($B102="","",IF(OR(T102="X",AD102&lt;&gt;""),0,MAX(0,MIN(Q102,'Critères et poids'!$C$38*INT((TODAY()-IF(Z102&lt;&gt;"",Z102,INT($A102)))/7)))))</f>
        <v/>
      </c>
      <c r="AB102" s="14">
        <f>IF($B102="","",MAX(0,S102-AA102))</f>
        <v/>
      </c>
      <c r="AC102" s="9">
        <f>IF($B102="","",IF(T102="X","X",IF(AB102&gt;='Critères et poids'!$C$29,"A",IF(AB102&gt;='Critères et poids'!$C$30,"B","C"))))</f>
        <v/>
      </c>
      <c r="AD102" s="4" t="n"/>
      <c r="AE102" s="18" t="n"/>
      <c r="AF102" s="6" t="n"/>
      <c r="AH102">
        <f>IF($A102="","",IF(OR(WEEKDAY($A102,2)&gt;5,ROUND(MOD($A102,1)*1440,0)&gt;=ROUND('Critères et poids'!$C$37*1440,0)),WORKDAY(INT($A102),1)+ROUND('Critères et poids'!$C$36*1440,0)/1440,IF(ROUND(MOD($A102,1)*1440,0)&lt;ROUND('Critères et poids'!$C$36*1440,0),INT($A102)+ROUND('Critères et poids'!$C$36*1440,0)/1440,$A102)))</f>
        <v/>
      </c>
      <c r="AI102">
        <f>IF(AH102="","",ROUND(MOD(AH102,1)*1440,0))</f>
        <v/>
      </c>
      <c r="AJ102">
        <f>IF(T102="","",INDEX('Critères et poids'!$E$29:$E$32,MATCH(T102,'Critères et poids'!$A$29:$A$32,0)))</f>
        <v/>
      </c>
    </row>
    <row r="103">
      <c r="A103" s="13" t="n"/>
      <c r="B103" s="6" t="n"/>
      <c r="C103" s="6" t="n"/>
      <c r="D103" s="4" t="n"/>
      <c r="E103" s="4" t="n"/>
      <c r="F103" s="4" t="n"/>
      <c r="G103" s="4" t="n"/>
      <c r="H103" s="4" t="n"/>
      <c r="I103" s="4" t="n"/>
      <c r="J103" s="4" t="n"/>
      <c r="K103" s="4" t="n"/>
      <c r="L103" s="4" t="n"/>
      <c r="M103" s="4" t="n"/>
      <c r="N103" s="6" t="n"/>
      <c r="O103" s="6" t="n"/>
      <c r="P103" s="14">
        <f>IF($B103="","",(E103="Clair")*'Critères et poids'!$G$5+(E103="Partiel")*'Critères et poids'!$G$5/2+(F103="Clair")*'Critères et poids'!$G$6+(F103="Partiel")*'Critères et poids'!$G$6/2+(G103="Clair")*'Critères et poids'!$G$7+(G103="Partiel")*'Critères et poids'!$G$7/2+(H103="Clair")*'Critères et poids'!$G$8+(H103="Partiel")*'Critères et poids'!$G$8/2)</f>
        <v/>
      </c>
      <c r="Q103" s="14">
        <f>IF($B103="","",(I103="Clair")*'Critères et poids'!$G$9+(I103="Partiel")*'Critères et poids'!$G$9/2+(J103="Clair")*'Critères et poids'!$G$10+(J103="Partiel")*'Critères et poids'!$G$10/2+(K103="Clair")*'Critères et poids'!$G$11+(K103="Partiel")*'Critères et poids'!$G$11/2+(L103="Clair")*'Critères et poids'!$G$12+(L103="Partiel")*'Critères et poids'!$G$12/2+(M103="Clair")*'Critères et poids'!$G$13+(M103="Partiel")*'Critères et poids'!$G$13/2)</f>
        <v/>
      </c>
      <c r="R103" s="14">
        <f>IF($B103="","",IFERROR(VLOOKUP(N103,'Critères et poids'!$B$17:$C$20,2,FALSE),0))</f>
        <v/>
      </c>
      <c r="S103" s="9">
        <f>IF($B103="","",MAX(0,P103+Q103+R103))</f>
        <v/>
      </c>
      <c r="T103" s="9">
        <f>IF($B103="","",IF(O103&lt;&gt;"","X",IF(S103&gt;='Critères et poids'!$C$29,"A",IF(S103&gt;='Critères et poids'!$C$30,"B","C"))))</f>
        <v/>
      </c>
      <c r="U103" s="14">
        <f>IF(T103="","",INDEX('Critères et poids'!$D$29:$D$32,MATCH(T103,'Critères et poids'!$A$29:$A$32,0)))</f>
        <v/>
      </c>
      <c r="V103" s="14">
        <f>IF(T103="","",INDEX('Critères et poids'!$F$29:$F$32,MATCH(T103,'Critères et poids'!$A$29:$A$32,0)))</f>
        <v/>
      </c>
      <c r="W103" s="15">
        <f>IF(OR(AH103="",AJ103=""),"",IF(AI103+AJ103*60&lt;=ROUND('Critères et poids'!$C$37*1440,0),INT(AH103)+(AI103+AJ103*60)/1440,WORKDAY(INT(AH103),1+INT((AI103+AJ103*60-ROUND('Critères et poids'!$C$37*1440,0)-1)/(ROUND('Critères et poids'!$C$37*1440,0)-ROUND('Critères et poids'!$C$36*1440,0))))+(ROUND('Critères et poids'!$C$36*1440,0)+AI103+AJ103*60-ROUND('Critères et poids'!$C$37*1440,0)-INT((AI103+AJ103*60-ROUND('Critères et poids'!$C$37*1440,0)-1)/(ROUND('Critères et poids'!$C$37*1440,0)-ROUND('Critères et poids'!$C$36*1440,0)))*(ROUND('Critères et poids'!$C$37*1440,0)-ROUND('Critères et poids'!$C$36*1440,0)))/1440))</f>
        <v/>
      </c>
      <c r="X103" s="16" t="n"/>
      <c r="Y103" s="14">
        <f>IF(W103="","",IF(X103="",IF(NOW()&gt;W103,"En retard","En attente"),IF(X103&lt;=W103,"À temps","En retard")))</f>
        <v/>
      </c>
      <c r="Z103" s="17" t="n"/>
      <c r="AA103" s="14">
        <f>IF($B103="","",IF(OR(T103="X",AD103&lt;&gt;""),0,MAX(0,MIN(Q103,'Critères et poids'!$C$38*INT((TODAY()-IF(Z103&lt;&gt;"",Z103,INT($A103)))/7)))))</f>
        <v/>
      </c>
      <c r="AB103" s="14">
        <f>IF($B103="","",MAX(0,S103-AA103))</f>
        <v/>
      </c>
      <c r="AC103" s="9">
        <f>IF($B103="","",IF(T103="X","X",IF(AB103&gt;='Critères et poids'!$C$29,"A",IF(AB103&gt;='Critères et poids'!$C$30,"B","C"))))</f>
        <v/>
      </c>
      <c r="AD103" s="4" t="n"/>
      <c r="AE103" s="18" t="n"/>
      <c r="AF103" s="6" t="n"/>
      <c r="AH103">
        <f>IF($A103="","",IF(OR(WEEKDAY($A103,2)&gt;5,ROUND(MOD($A103,1)*1440,0)&gt;=ROUND('Critères et poids'!$C$37*1440,0)),WORKDAY(INT($A103),1)+ROUND('Critères et poids'!$C$36*1440,0)/1440,IF(ROUND(MOD($A103,1)*1440,0)&lt;ROUND('Critères et poids'!$C$36*1440,0),INT($A103)+ROUND('Critères et poids'!$C$36*1440,0)/1440,$A103)))</f>
        <v/>
      </c>
      <c r="AI103">
        <f>IF(AH103="","",ROUND(MOD(AH103,1)*1440,0))</f>
        <v/>
      </c>
      <c r="AJ103">
        <f>IF(T103="","",INDEX('Critères et poids'!$E$29:$E$32,MATCH(T103,'Critères et poids'!$A$29:$A$32,0)))</f>
        <v/>
      </c>
    </row>
    <row r="104">
      <c r="A104" s="13" t="n"/>
      <c r="B104" s="6" t="n"/>
      <c r="C104" s="6" t="n"/>
      <c r="D104" s="4" t="n"/>
      <c r="E104" s="4" t="n"/>
      <c r="F104" s="4" t="n"/>
      <c r="G104" s="4" t="n"/>
      <c r="H104" s="4" t="n"/>
      <c r="I104" s="4" t="n"/>
      <c r="J104" s="4" t="n"/>
      <c r="K104" s="4" t="n"/>
      <c r="L104" s="4" t="n"/>
      <c r="M104" s="4" t="n"/>
      <c r="N104" s="6" t="n"/>
      <c r="O104" s="6" t="n"/>
      <c r="P104" s="14">
        <f>IF($B104="","",(E104="Clair")*'Critères et poids'!$G$5+(E104="Partiel")*'Critères et poids'!$G$5/2+(F104="Clair")*'Critères et poids'!$G$6+(F104="Partiel")*'Critères et poids'!$G$6/2+(G104="Clair")*'Critères et poids'!$G$7+(G104="Partiel")*'Critères et poids'!$G$7/2+(H104="Clair")*'Critères et poids'!$G$8+(H104="Partiel")*'Critères et poids'!$G$8/2)</f>
        <v/>
      </c>
      <c r="Q104" s="14">
        <f>IF($B104="","",(I104="Clair")*'Critères et poids'!$G$9+(I104="Partiel")*'Critères et poids'!$G$9/2+(J104="Clair")*'Critères et poids'!$G$10+(J104="Partiel")*'Critères et poids'!$G$10/2+(K104="Clair")*'Critères et poids'!$G$11+(K104="Partiel")*'Critères et poids'!$G$11/2+(L104="Clair")*'Critères et poids'!$G$12+(L104="Partiel")*'Critères et poids'!$G$12/2+(M104="Clair")*'Critères et poids'!$G$13+(M104="Partiel")*'Critères et poids'!$G$13/2)</f>
        <v/>
      </c>
      <c r="R104" s="14">
        <f>IF($B104="","",IFERROR(VLOOKUP(N104,'Critères et poids'!$B$17:$C$20,2,FALSE),0))</f>
        <v/>
      </c>
      <c r="S104" s="9">
        <f>IF($B104="","",MAX(0,P104+Q104+R104))</f>
        <v/>
      </c>
      <c r="T104" s="9">
        <f>IF($B104="","",IF(O104&lt;&gt;"","X",IF(S104&gt;='Critères et poids'!$C$29,"A",IF(S104&gt;='Critères et poids'!$C$30,"B","C"))))</f>
        <v/>
      </c>
      <c r="U104" s="14">
        <f>IF(T104="","",INDEX('Critères et poids'!$D$29:$D$32,MATCH(T104,'Critères et poids'!$A$29:$A$32,0)))</f>
        <v/>
      </c>
      <c r="V104" s="14">
        <f>IF(T104="","",INDEX('Critères et poids'!$F$29:$F$32,MATCH(T104,'Critères et poids'!$A$29:$A$32,0)))</f>
        <v/>
      </c>
      <c r="W104" s="15">
        <f>IF(OR(AH104="",AJ104=""),"",IF(AI104+AJ104*60&lt;=ROUND('Critères et poids'!$C$37*1440,0),INT(AH104)+(AI104+AJ104*60)/1440,WORKDAY(INT(AH104),1+INT((AI104+AJ104*60-ROUND('Critères et poids'!$C$37*1440,0)-1)/(ROUND('Critères et poids'!$C$37*1440,0)-ROUND('Critères et poids'!$C$36*1440,0))))+(ROUND('Critères et poids'!$C$36*1440,0)+AI104+AJ104*60-ROUND('Critères et poids'!$C$37*1440,0)-INT((AI104+AJ104*60-ROUND('Critères et poids'!$C$37*1440,0)-1)/(ROUND('Critères et poids'!$C$37*1440,0)-ROUND('Critères et poids'!$C$36*1440,0)))*(ROUND('Critères et poids'!$C$37*1440,0)-ROUND('Critères et poids'!$C$36*1440,0)))/1440))</f>
        <v/>
      </c>
      <c r="X104" s="16" t="n"/>
      <c r="Y104" s="14">
        <f>IF(W104="","",IF(X104="",IF(NOW()&gt;W104,"En retard","En attente"),IF(X104&lt;=W104,"À temps","En retard")))</f>
        <v/>
      </c>
      <c r="Z104" s="17" t="n"/>
      <c r="AA104" s="14">
        <f>IF($B104="","",IF(OR(T104="X",AD104&lt;&gt;""),0,MAX(0,MIN(Q104,'Critères et poids'!$C$38*INT((TODAY()-IF(Z104&lt;&gt;"",Z104,INT($A104)))/7)))))</f>
        <v/>
      </c>
      <c r="AB104" s="14">
        <f>IF($B104="","",MAX(0,S104-AA104))</f>
        <v/>
      </c>
      <c r="AC104" s="9">
        <f>IF($B104="","",IF(T104="X","X",IF(AB104&gt;='Critères et poids'!$C$29,"A",IF(AB104&gt;='Critères et poids'!$C$30,"B","C"))))</f>
        <v/>
      </c>
      <c r="AD104" s="4" t="n"/>
      <c r="AE104" s="18" t="n"/>
      <c r="AF104" s="6" t="n"/>
      <c r="AH104">
        <f>IF($A104="","",IF(OR(WEEKDAY($A104,2)&gt;5,ROUND(MOD($A104,1)*1440,0)&gt;=ROUND('Critères et poids'!$C$37*1440,0)),WORKDAY(INT($A104),1)+ROUND('Critères et poids'!$C$36*1440,0)/1440,IF(ROUND(MOD($A104,1)*1440,0)&lt;ROUND('Critères et poids'!$C$36*1440,0),INT($A104)+ROUND('Critères et poids'!$C$36*1440,0)/1440,$A104)))</f>
        <v/>
      </c>
      <c r="AI104">
        <f>IF(AH104="","",ROUND(MOD(AH104,1)*1440,0))</f>
        <v/>
      </c>
      <c r="AJ104">
        <f>IF(T104="","",INDEX('Critères et poids'!$E$29:$E$32,MATCH(T104,'Critères et poids'!$A$29:$A$32,0)))</f>
        <v/>
      </c>
    </row>
    <row r="105">
      <c r="A105" s="13" t="n"/>
      <c r="B105" s="6" t="n"/>
      <c r="C105" s="6" t="n"/>
      <c r="D105" s="4" t="n"/>
      <c r="E105" s="4" t="n"/>
      <c r="F105" s="4" t="n"/>
      <c r="G105" s="4" t="n"/>
      <c r="H105" s="4" t="n"/>
      <c r="I105" s="4" t="n"/>
      <c r="J105" s="4" t="n"/>
      <c r="K105" s="4" t="n"/>
      <c r="L105" s="4" t="n"/>
      <c r="M105" s="4" t="n"/>
      <c r="N105" s="6" t="n"/>
      <c r="O105" s="6" t="n"/>
      <c r="P105" s="14">
        <f>IF($B105="","",(E105="Clair")*'Critères et poids'!$G$5+(E105="Partiel")*'Critères et poids'!$G$5/2+(F105="Clair")*'Critères et poids'!$G$6+(F105="Partiel")*'Critères et poids'!$G$6/2+(G105="Clair")*'Critères et poids'!$G$7+(G105="Partiel")*'Critères et poids'!$G$7/2+(H105="Clair")*'Critères et poids'!$G$8+(H105="Partiel")*'Critères et poids'!$G$8/2)</f>
        <v/>
      </c>
      <c r="Q105" s="14">
        <f>IF($B105="","",(I105="Clair")*'Critères et poids'!$G$9+(I105="Partiel")*'Critères et poids'!$G$9/2+(J105="Clair")*'Critères et poids'!$G$10+(J105="Partiel")*'Critères et poids'!$G$10/2+(K105="Clair")*'Critères et poids'!$G$11+(K105="Partiel")*'Critères et poids'!$G$11/2+(L105="Clair")*'Critères et poids'!$G$12+(L105="Partiel")*'Critères et poids'!$G$12/2+(M105="Clair")*'Critères et poids'!$G$13+(M105="Partiel")*'Critères et poids'!$G$13/2)</f>
        <v/>
      </c>
      <c r="R105" s="14">
        <f>IF($B105="","",IFERROR(VLOOKUP(N105,'Critères et poids'!$B$17:$C$20,2,FALSE),0))</f>
        <v/>
      </c>
      <c r="S105" s="9">
        <f>IF($B105="","",MAX(0,P105+Q105+R105))</f>
        <v/>
      </c>
      <c r="T105" s="9">
        <f>IF($B105="","",IF(O105&lt;&gt;"","X",IF(S105&gt;='Critères et poids'!$C$29,"A",IF(S105&gt;='Critères et poids'!$C$30,"B","C"))))</f>
        <v/>
      </c>
      <c r="U105" s="14">
        <f>IF(T105="","",INDEX('Critères et poids'!$D$29:$D$32,MATCH(T105,'Critères et poids'!$A$29:$A$32,0)))</f>
        <v/>
      </c>
      <c r="V105" s="14">
        <f>IF(T105="","",INDEX('Critères et poids'!$F$29:$F$32,MATCH(T105,'Critères et poids'!$A$29:$A$32,0)))</f>
        <v/>
      </c>
      <c r="W105" s="15">
        <f>IF(OR(AH105="",AJ105=""),"",IF(AI105+AJ105*60&lt;=ROUND('Critères et poids'!$C$37*1440,0),INT(AH105)+(AI105+AJ105*60)/1440,WORKDAY(INT(AH105),1+INT((AI105+AJ105*60-ROUND('Critères et poids'!$C$37*1440,0)-1)/(ROUND('Critères et poids'!$C$37*1440,0)-ROUND('Critères et poids'!$C$36*1440,0))))+(ROUND('Critères et poids'!$C$36*1440,0)+AI105+AJ105*60-ROUND('Critères et poids'!$C$37*1440,0)-INT((AI105+AJ105*60-ROUND('Critères et poids'!$C$37*1440,0)-1)/(ROUND('Critères et poids'!$C$37*1440,0)-ROUND('Critères et poids'!$C$36*1440,0)))*(ROUND('Critères et poids'!$C$37*1440,0)-ROUND('Critères et poids'!$C$36*1440,0)))/1440))</f>
        <v/>
      </c>
      <c r="X105" s="16" t="n"/>
      <c r="Y105" s="14">
        <f>IF(W105="","",IF(X105="",IF(NOW()&gt;W105,"En retard","En attente"),IF(X105&lt;=W105,"À temps","En retard")))</f>
        <v/>
      </c>
      <c r="Z105" s="17" t="n"/>
      <c r="AA105" s="14">
        <f>IF($B105="","",IF(OR(T105="X",AD105&lt;&gt;""),0,MAX(0,MIN(Q105,'Critères et poids'!$C$38*INT((TODAY()-IF(Z105&lt;&gt;"",Z105,INT($A105)))/7)))))</f>
        <v/>
      </c>
      <c r="AB105" s="14">
        <f>IF($B105="","",MAX(0,S105-AA105))</f>
        <v/>
      </c>
      <c r="AC105" s="9">
        <f>IF($B105="","",IF(T105="X","X",IF(AB105&gt;='Critères et poids'!$C$29,"A",IF(AB105&gt;='Critères et poids'!$C$30,"B","C"))))</f>
        <v/>
      </c>
      <c r="AD105" s="4" t="n"/>
      <c r="AE105" s="18" t="n"/>
      <c r="AF105" s="6" t="n"/>
      <c r="AH105">
        <f>IF($A105="","",IF(OR(WEEKDAY($A105,2)&gt;5,ROUND(MOD($A105,1)*1440,0)&gt;=ROUND('Critères et poids'!$C$37*1440,0)),WORKDAY(INT($A105),1)+ROUND('Critères et poids'!$C$36*1440,0)/1440,IF(ROUND(MOD($A105,1)*1440,0)&lt;ROUND('Critères et poids'!$C$36*1440,0),INT($A105)+ROUND('Critères et poids'!$C$36*1440,0)/1440,$A105)))</f>
        <v/>
      </c>
      <c r="AI105">
        <f>IF(AH105="","",ROUND(MOD(AH105,1)*1440,0))</f>
        <v/>
      </c>
      <c r="AJ105">
        <f>IF(T105="","",INDEX('Critères et poids'!$E$29:$E$32,MATCH(T105,'Critères et poids'!$A$29:$A$32,0)))</f>
        <v/>
      </c>
    </row>
    <row r="106">
      <c r="A106" s="13" t="n"/>
      <c r="B106" s="6" t="n"/>
      <c r="C106" s="6" t="n"/>
      <c r="D106" s="4" t="n"/>
      <c r="E106" s="4" t="n"/>
      <c r="F106" s="4" t="n"/>
      <c r="G106" s="4" t="n"/>
      <c r="H106" s="4" t="n"/>
      <c r="I106" s="4" t="n"/>
      <c r="J106" s="4" t="n"/>
      <c r="K106" s="4" t="n"/>
      <c r="L106" s="4" t="n"/>
      <c r="M106" s="4" t="n"/>
      <c r="N106" s="6" t="n"/>
      <c r="O106" s="6" t="n"/>
      <c r="P106" s="14">
        <f>IF($B106="","",(E106="Clair")*'Critères et poids'!$G$5+(E106="Partiel")*'Critères et poids'!$G$5/2+(F106="Clair")*'Critères et poids'!$G$6+(F106="Partiel")*'Critères et poids'!$G$6/2+(G106="Clair")*'Critères et poids'!$G$7+(G106="Partiel")*'Critères et poids'!$G$7/2+(H106="Clair")*'Critères et poids'!$G$8+(H106="Partiel")*'Critères et poids'!$G$8/2)</f>
        <v/>
      </c>
      <c r="Q106" s="14">
        <f>IF($B106="","",(I106="Clair")*'Critères et poids'!$G$9+(I106="Partiel")*'Critères et poids'!$G$9/2+(J106="Clair")*'Critères et poids'!$G$10+(J106="Partiel")*'Critères et poids'!$G$10/2+(K106="Clair")*'Critères et poids'!$G$11+(K106="Partiel")*'Critères et poids'!$G$11/2+(L106="Clair")*'Critères et poids'!$G$12+(L106="Partiel")*'Critères et poids'!$G$12/2+(M106="Clair")*'Critères et poids'!$G$13+(M106="Partiel")*'Critères et poids'!$G$13/2)</f>
        <v/>
      </c>
      <c r="R106" s="14">
        <f>IF($B106="","",IFERROR(VLOOKUP(N106,'Critères et poids'!$B$17:$C$20,2,FALSE),0))</f>
        <v/>
      </c>
      <c r="S106" s="9">
        <f>IF($B106="","",MAX(0,P106+Q106+R106))</f>
        <v/>
      </c>
      <c r="T106" s="9">
        <f>IF($B106="","",IF(O106&lt;&gt;"","X",IF(S106&gt;='Critères et poids'!$C$29,"A",IF(S106&gt;='Critères et poids'!$C$30,"B","C"))))</f>
        <v/>
      </c>
      <c r="U106" s="14">
        <f>IF(T106="","",INDEX('Critères et poids'!$D$29:$D$32,MATCH(T106,'Critères et poids'!$A$29:$A$32,0)))</f>
        <v/>
      </c>
      <c r="V106" s="14">
        <f>IF(T106="","",INDEX('Critères et poids'!$F$29:$F$32,MATCH(T106,'Critères et poids'!$A$29:$A$32,0)))</f>
        <v/>
      </c>
      <c r="W106" s="15">
        <f>IF(OR(AH106="",AJ106=""),"",IF(AI106+AJ106*60&lt;=ROUND('Critères et poids'!$C$37*1440,0),INT(AH106)+(AI106+AJ106*60)/1440,WORKDAY(INT(AH106),1+INT((AI106+AJ106*60-ROUND('Critères et poids'!$C$37*1440,0)-1)/(ROUND('Critères et poids'!$C$37*1440,0)-ROUND('Critères et poids'!$C$36*1440,0))))+(ROUND('Critères et poids'!$C$36*1440,0)+AI106+AJ106*60-ROUND('Critères et poids'!$C$37*1440,0)-INT((AI106+AJ106*60-ROUND('Critères et poids'!$C$37*1440,0)-1)/(ROUND('Critères et poids'!$C$37*1440,0)-ROUND('Critères et poids'!$C$36*1440,0)))*(ROUND('Critères et poids'!$C$37*1440,0)-ROUND('Critères et poids'!$C$36*1440,0)))/1440))</f>
        <v/>
      </c>
      <c r="X106" s="16" t="n"/>
      <c r="Y106" s="14">
        <f>IF(W106="","",IF(X106="",IF(NOW()&gt;W106,"En retard","En attente"),IF(X106&lt;=W106,"À temps","En retard")))</f>
        <v/>
      </c>
      <c r="Z106" s="17" t="n"/>
      <c r="AA106" s="14">
        <f>IF($B106="","",IF(OR(T106="X",AD106&lt;&gt;""),0,MAX(0,MIN(Q106,'Critères et poids'!$C$38*INT((TODAY()-IF(Z106&lt;&gt;"",Z106,INT($A106)))/7)))))</f>
        <v/>
      </c>
      <c r="AB106" s="14">
        <f>IF($B106="","",MAX(0,S106-AA106))</f>
        <v/>
      </c>
      <c r="AC106" s="9">
        <f>IF($B106="","",IF(T106="X","X",IF(AB106&gt;='Critères et poids'!$C$29,"A",IF(AB106&gt;='Critères et poids'!$C$30,"B","C"))))</f>
        <v/>
      </c>
      <c r="AD106" s="4" t="n"/>
      <c r="AE106" s="18" t="n"/>
      <c r="AF106" s="6" t="n"/>
      <c r="AH106">
        <f>IF($A106="","",IF(OR(WEEKDAY($A106,2)&gt;5,ROUND(MOD($A106,1)*1440,0)&gt;=ROUND('Critères et poids'!$C$37*1440,0)),WORKDAY(INT($A106),1)+ROUND('Critères et poids'!$C$36*1440,0)/1440,IF(ROUND(MOD($A106,1)*1440,0)&lt;ROUND('Critères et poids'!$C$36*1440,0),INT($A106)+ROUND('Critères et poids'!$C$36*1440,0)/1440,$A106)))</f>
        <v/>
      </c>
      <c r="AI106">
        <f>IF(AH106="","",ROUND(MOD(AH106,1)*1440,0))</f>
        <v/>
      </c>
      <c r="AJ106">
        <f>IF(T106="","",INDEX('Critères et poids'!$E$29:$E$32,MATCH(T106,'Critères et poids'!$A$29:$A$32,0)))</f>
        <v/>
      </c>
    </row>
    <row r="107">
      <c r="A107" s="13" t="n"/>
      <c r="B107" s="6" t="n"/>
      <c r="C107" s="6" t="n"/>
      <c r="D107" s="4" t="n"/>
      <c r="E107" s="4" t="n"/>
      <c r="F107" s="4" t="n"/>
      <c r="G107" s="4" t="n"/>
      <c r="H107" s="4" t="n"/>
      <c r="I107" s="4" t="n"/>
      <c r="J107" s="4" t="n"/>
      <c r="K107" s="4" t="n"/>
      <c r="L107" s="4" t="n"/>
      <c r="M107" s="4" t="n"/>
      <c r="N107" s="6" t="n"/>
      <c r="O107" s="6" t="n"/>
      <c r="P107" s="14">
        <f>IF($B107="","",(E107="Clair")*'Critères et poids'!$G$5+(E107="Partiel")*'Critères et poids'!$G$5/2+(F107="Clair")*'Critères et poids'!$G$6+(F107="Partiel")*'Critères et poids'!$G$6/2+(G107="Clair")*'Critères et poids'!$G$7+(G107="Partiel")*'Critères et poids'!$G$7/2+(H107="Clair")*'Critères et poids'!$G$8+(H107="Partiel")*'Critères et poids'!$G$8/2)</f>
        <v/>
      </c>
      <c r="Q107" s="14">
        <f>IF($B107="","",(I107="Clair")*'Critères et poids'!$G$9+(I107="Partiel")*'Critères et poids'!$G$9/2+(J107="Clair")*'Critères et poids'!$G$10+(J107="Partiel")*'Critères et poids'!$G$10/2+(K107="Clair")*'Critères et poids'!$G$11+(K107="Partiel")*'Critères et poids'!$G$11/2+(L107="Clair")*'Critères et poids'!$G$12+(L107="Partiel")*'Critères et poids'!$G$12/2+(M107="Clair")*'Critères et poids'!$G$13+(M107="Partiel")*'Critères et poids'!$G$13/2)</f>
        <v/>
      </c>
      <c r="R107" s="14">
        <f>IF($B107="","",IFERROR(VLOOKUP(N107,'Critères et poids'!$B$17:$C$20,2,FALSE),0))</f>
        <v/>
      </c>
      <c r="S107" s="9">
        <f>IF($B107="","",MAX(0,P107+Q107+R107))</f>
        <v/>
      </c>
      <c r="T107" s="9">
        <f>IF($B107="","",IF(O107&lt;&gt;"","X",IF(S107&gt;='Critères et poids'!$C$29,"A",IF(S107&gt;='Critères et poids'!$C$30,"B","C"))))</f>
        <v/>
      </c>
      <c r="U107" s="14">
        <f>IF(T107="","",INDEX('Critères et poids'!$D$29:$D$32,MATCH(T107,'Critères et poids'!$A$29:$A$32,0)))</f>
        <v/>
      </c>
      <c r="V107" s="14">
        <f>IF(T107="","",INDEX('Critères et poids'!$F$29:$F$32,MATCH(T107,'Critères et poids'!$A$29:$A$32,0)))</f>
        <v/>
      </c>
      <c r="W107" s="15">
        <f>IF(OR(AH107="",AJ107=""),"",IF(AI107+AJ107*60&lt;=ROUND('Critères et poids'!$C$37*1440,0),INT(AH107)+(AI107+AJ107*60)/1440,WORKDAY(INT(AH107),1+INT((AI107+AJ107*60-ROUND('Critères et poids'!$C$37*1440,0)-1)/(ROUND('Critères et poids'!$C$37*1440,0)-ROUND('Critères et poids'!$C$36*1440,0))))+(ROUND('Critères et poids'!$C$36*1440,0)+AI107+AJ107*60-ROUND('Critères et poids'!$C$37*1440,0)-INT((AI107+AJ107*60-ROUND('Critères et poids'!$C$37*1440,0)-1)/(ROUND('Critères et poids'!$C$37*1440,0)-ROUND('Critères et poids'!$C$36*1440,0)))*(ROUND('Critères et poids'!$C$37*1440,0)-ROUND('Critères et poids'!$C$36*1440,0)))/1440))</f>
        <v/>
      </c>
      <c r="X107" s="16" t="n"/>
      <c r="Y107" s="14">
        <f>IF(W107="","",IF(X107="",IF(NOW()&gt;W107,"En retard","En attente"),IF(X107&lt;=W107,"À temps","En retard")))</f>
        <v/>
      </c>
      <c r="Z107" s="17" t="n"/>
      <c r="AA107" s="14">
        <f>IF($B107="","",IF(OR(T107="X",AD107&lt;&gt;""),0,MAX(0,MIN(Q107,'Critères et poids'!$C$38*INT((TODAY()-IF(Z107&lt;&gt;"",Z107,INT($A107)))/7)))))</f>
        <v/>
      </c>
      <c r="AB107" s="14">
        <f>IF($B107="","",MAX(0,S107-AA107))</f>
        <v/>
      </c>
      <c r="AC107" s="9">
        <f>IF($B107="","",IF(T107="X","X",IF(AB107&gt;='Critères et poids'!$C$29,"A",IF(AB107&gt;='Critères et poids'!$C$30,"B","C"))))</f>
        <v/>
      </c>
      <c r="AD107" s="4" t="n"/>
      <c r="AE107" s="18" t="n"/>
      <c r="AF107" s="6" t="n"/>
      <c r="AH107">
        <f>IF($A107="","",IF(OR(WEEKDAY($A107,2)&gt;5,ROUND(MOD($A107,1)*1440,0)&gt;=ROUND('Critères et poids'!$C$37*1440,0)),WORKDAY(INT($A107),1)+ROUND('Critères et poids'!$C$36*1440,0)/1440,IF(ROUND(MOD($A107,1)*1440,0)&lt;ROUND('Critères et poids'!$C$36*1440,0),INT($A107)+ROUND('Critères et poids'!$C$36*1440,0)/1440,$A107)))</f>
        <v/>
      </c>
      <c r="AI107">
        <f>IF(AH107="","",ROUND(MOD(AH107,1)*1440,0))</f>
        <v/>
      </c>
      <c r="AJ107">
        <f>IF(T107="","",INDEX('Critères et poids'!$E$29:$E$32,MATCH(T107,'Critères et poids'!$A$29:$A$32,0)))</f>
        <v/>
      </c>
    </row>
    <row r="108">
      <c r="A108" s="13" t="n"/>
      <c r="B108" s="6" t="n"/>
      <c r="C108" s="6" t="n"/>
      <c r="D108" s="4" t="n"/>
      <c r="E108" s="4" t="n"/>
      <c r="F108" s="4" t="n"/>
      <c r="G108" s="4" t="n"/>
      <c r="H108" s="4" t="n"/>
      <c r="I108" s="4" t="n"/>
      <c r="J108" s="4" t="n"/>
      <c r="K108" s="4" t="n"/>
      <c r="L108" s="4" t="n"/>
      <c r="M108" s="4" t="n"/>
      <c r="N108" s="6" t="n"/>
      <c r="O108" s="6" t="n"/>
      <c r="P108" s="14">
        <f>IF($B108="","",(E108="Clair")*'Critères et poids'!$G$5+(E108="Partiel")*'Critères et poids'!$G$5/2+(F108="Clair")*'Critères et poids'!$G$6+(F108="Partiel")*'Critères et poids'!$G$6/2+(G108="Clair")*'Critères et poids'!$G$7+(G108="Partiel")*'Critères et poids'!$G$7/2+(H108="Clair")*'Critères et poids'!$G$8+(H108="Partiel")*'Critères et poids'!$G$8/2)</f>
        <v/>
      </c>
      <c r="Q108" s="14">
        <f>IF($B108="","",(I108="Clair")*'Critères et poids'!$G$9+(I108="Partiel")*'Critères et poids'!$G$9/2+(J108="Clair")*'Critères et poids'!$G$10+(J108="Partiel")*'Critères et poids'!$G$10/2+(K108="Clair")*'Critères et poids'!$G$11+(K108="Partiel")*'Critères et poids'!$G$11/2+(L108="Clair")*'Critères et poids'!$G$12+(L108="Partiel")*'Critères et poids'!$G$12/2+(M108="Clair")*'Critères et poids'!$G$13+(M108="Partiel")*'Critères et poids'!$G$13/2)</f>
        <v/>
      </c>
      <c r="R108" s="14">
        <f>IF($B108="","",IFERROR(VLOOKUP(N108,'Critères et poids'!$B$17:$C$20,2,FALSE),0))</f>
        <v/>
      </c>
      <c r="S108" s="9">
        <f>IF($B108="","",MAX(0,P108+Q108+R108))</f>
        <v/>
      </c>
      <c r="T108" s="9">
        <f>IF($B108="","",IF(O108&lt;&gt;"","X",IF(S108&gt;='Critères et poids'!$C$29,"A",IF(S108&gt;='Critères et poids'!$C$30,"B","C"))))</f>
        <v/>
      </c>
      <c r="U108" s="14">
        <f>IF(T108="","",INDEX('Critères et poids'!$D$29:$D$32,MATCH(T108,'Critères et poids'!$A$29:$A$32,0)))</f>
        <v/>
      </c>
      <c r="V108" s="14">
        <f>IF(T108="","",INDEX('Critères et poids'!$F$29:$F$32,MATCH(T108,'Critères et poids'!$A$29:$A$32,0)))</f>
        <v/>
      </c>
      <c r="W108" s="15">
        <f>IF(OR(AH108="",AJ108=""),"",IF(AI108+AJ108*60&lt;=ROUND('Critères et poids'!$C$37*1440,0),INT(AH108)+(AI108+AJ108*60)/1440,WORKDAY(INT(AH108),1+INT((AI108+AJ108*60-ROUND('Critères et poids'!$C$37*1440,0)-1)/(ROUND('Critères et poids'!$C$37*1440,0)-ROUND('Critères et poids'!$C$36*1440,0))))+(ROUND('Critères et poids'!$C$36*1440,0)+AI108+AJ108*60-ROUND('Critères et poids'!$C$37*1440,0)-INT((AI108+AJ108*60-ROUND('Critères et poids'!$C$37*1440,0)-1)/(ROUND('Critères et poids'!$C$37*1440,0)-ROUND('Critères et poids'!$C$36*1440,0)))*(ROUND('Critères et poids'!$C$37*1440,0)-ROUND('Critères et poids'!$C$36*1440,0)))/1440))</f>
        <v/>
      </c>
      <c r="X108" s="16" t="n"/>
      <c r="Y108" s="14">
        <f>IF(W108="","",IF(X108="",IF(NOW()&gt;W108,"En retard","En attente"),IF(X108&lt;=W108,"À temps","En retard")))</f>
        <v/>
      </c>
      <c r="Z108" s="17" t="n"/>
      <c r="AA108" s="14">
        <f>IF($B108="","",IF(OR(T108="X",AD108&lt;&gt;""),0,MAX(0,MIN(Q108,'Critères et poids'!$C$38*INT((TODAY()-IF(Z108&lt;&gt;"",Z108,INT($A108)))/7)))))</f>
        <v/>
      </c>
      <c r="AB108" s="14">
        <f>IF($B108="","",MAX(0,S108-AA108))</f>
        <v/>
      </c>
      <c r="AC108" s="9">
        <f>IF($B108="","",IF(T108="X","X",IF(AB108&gt;='Critères et poids'!$C$29,"A",IF(AB108&gt;='Critères et poids'!$C$30,"B","C"))))</f>
        <v/>
      </c>
      <c r="AD108" s="4" t="n"/>
      <c r="AE108" s="18" t="n"/>
      <c r="AF108" s="6" t="n"/>
      <c r="AH108">
        <f>IF($A108="","",IF(OR(WEEKDAY($A108,2)&gt;5,ROUND(MOD($A108,1)*1440,0)&gt;=ROUND('Critères et poids'!$C$37*1440,0)),WORKDAY(INT($A108),1)+ROUND('Critères et poids'!$C$36*1440,0)/1440,IF(ROUND(MOD($A108,1)*1440,0)&lt;ROUND('Critères et poids'!$C$36*1440,0),INT($A108)+ROUND('Critères et poids'!$C$36*1440,0)/1440,$A108)))</f>
        <v/>
      </c>
      <c r="AI108">
        <f>IF(AH108="","",ROUND(MOD(AH108,1)*1440,0))</f>
        <v/>
      </c>
      <c r="AJ108">
        <f>IF(T108="","",INDEX('Critères et poids'!$E$29:$E$32,MATCH(T108,'Critères et poids'!$A$29:$A$32,0)))</f>
        <v/>
      </c>
    </row>
    <row r="109">
      <c r="A109" s="13" t="n"/>
      <c r="B109" s="6" t="n"/>
      <c r="C109" s="6" t="n"/>
      <c r="D109" s="4" t="n"/>
      <c r="E109" s="4" t="n"/>
      <c r="F109" s="4" t="n"/>
      <c r="G109" s="4" t="n"/>
      <c r="H109" s="4" t="n"/>
      <c r="I109" s="4" t="n"/>
      <c r="J109" s="4" t="n"/>
      <c r="K109" s="4" t="n"/>
      <c r="L109" s="4" t="n"/>
      <c r="M109" s="4" t="n"/>
      <c r="N109" s="6" t="n"/>
      <c r="O109" s="6" t="n"/>
      <c r="P109" s="14">
        <f>IF($B109="","",(E109="Clair")*'Critères et poids'!$G$5+(E109="Partiel")*'Critères et poids'!$G$5/2+(F109="Clair")*'Critères et poids'!$G$6+(F109="Partiel")*'Critères et poids'!$G$6/2+(G109="Clair")*'Critères et poids'!$G$7+(G109="Partiel")*'Critères et poids'!$G$7/2+(H109="Clair")*'Critères et poids'!$G$8+(H109="Partiel")*'Critères et poids'!$G$8/2)</f>
        <v/>
      </c>
      <c r="Q109" s="14">
        <f>IF($B109="","",(I109="Clair")*'Critères et poids'!$G$9+(I109="Partiel")*'Critères et poids'!$G$9/2+(J109="Clair")*'Critères et poids'!$G$10+(J109="Partiel")*'Critères et poids'!$G$10/2+(K109="Clair")*'Critères et poids'!$G$11+(K109="Partiel")*'Critères et poids'!$G$11/2+(L109="Clair")*'Critères et poids'!$G$12+(L109="Partiel")*'Critères et poids'!$G$12/2+(M109="Clair")*'Critères et poids'!$G$13+(M109="Partiel")*'Critères et poids'!$G$13/2)</f>
        <v/>
      </c>
      <c r="R109" s="14">
        <f>IF($B109="","",IFERROR(VLOOKUP(N109,'Critères et poids'!$B$17:$C$20,2,FALSE),0))</f>
        <v/>
      </c>
      <c r="S109" s="9">
        <f>IF($B109="","",MAX(0,P109+Q109+R109))</f>
        <v/>
      </c>
      <c r="T109" s="9">
        <f>IF($B109="","",IF(O109&lt;&gt;"","X",IF(S109&gt;='Critères et poids'!$C$29,"A",IF(S109&gt;='Critères et poids'!$C$30,"B","C"))))</f>
        <v/>
      </c>
      <c r="U109" s="14">
        <f>IF(T109="","",INDEX('Critères et poids'!$D$29:$D$32,MATCH(T109,'Critères et poids'!$A$29:$A$32,0)))</f>
        <v/>
      </c>
      <c r="V109" s="14">
        <f>IF(T109="","",INDEX('Critères et poids'!$F$29:$F$32,MATCH(T109,'Critères et poids'!$A$29:$A$32,0)))</f>
        <v/>
      </c>
      <c r="W109" s="15">
        <f>IF(OR(AH109="",AJ109=""),"",IF(AI109+AJ109*60&lt;=ROUND('Critères et poids'!$C$37*1440,0),INT(AH109)+(AI109+AJ109*60)/1440,WORKDAY(INT(AH109),1+INT((AI109+AJ109*60-ROUND('Critères et poids'!$C$37*1440,0)-1)/(ROUND('Critères et poids'!$C$37*1440,0)-ROUND('Critères et poids'!$C$36*1440,0))))+(ROUND('Critères et poids'!$C$36*1440,0)+AI109+AJ109*60-ROUND('Critères et poids'!$C$37*1440,0)-INT((AI109+AJ109*60-ROUND('Critères et poids'!$C$37*1440,0)-1)/(ROUND('Critères et poids'!$C$37*1440,0)-ROUND('Critères et poids'!$C$36*1440,0)))*(ROUND('Critères et poids'!$C$37*1440,0)-ROUND('Critères et poids'!$C$36*1440,0)))/1440))</f>
        <v/>
      </c>
      <c r="X109" s="16" t="n"/>
      <c r="Y109" s="14">
        <f>IF(W109="","",IF(X109="",IF(NOW()&gt;W109,"En retard","En attente"),IF(X109&lt;=W109,"À temps","En retard")))</f>
        <v/>
      </c>
      <c r="Z109" s="17" t="n"/>
      <c r="AA109" s="14">
        <f>IF($B109="","",IF(OR(T109="X",AD109&lt;&gt;""),0,MAX(0,MIN(Q109,'Critères et poids'!$C$38*INT((TODAY()-IF(Z109&lt;&gt;"",Z109,INT($A109)))/7)))))</f>
        <v/>
      </c>
      <c r="AB109" s="14">
        <f>IF($B109="","",MAX(0,S109-AA109))</f>
        <v/>
      </c>
      <c r="AC109" s="9">
        <f>IF($B109="","",IF(T109="X","X",IF(AB109&gt;='Critères et poids'!$C$29,"A",IF(AB109&gt;='Critères et poids'!$C$30,"B","C"))))</f>
        <v/>
      </c>
      <c r="AD109" s="4" t="n"/>
      <c r="AE109" s="18" t="n"/>
      <c r="AF109" s="6" t="n"/>
      <c r="AH109">
        <f>IF($A109="","",IF(OR(WEEKDAY($A109,2)&gt;5,ROUND(MOD($A109,1)*1440,0)&gt;=ROUND('Critères et poids'!$C$37*1440,0)),WORKDAY(INT($A109),1)+ROUND('Critères et poids'!$C$36*1440,0)/1440,IF(ROUND(MOD($A109,1)*1440,0)&lt;ROUND('Critères et poids'!$C$36*1440,0),INT($A109)+ROUND('Critères et poids'!$C$36*1440,0)/1440,$A109)))</f>
        <v/>
      </c>
      <c r="AI109">
        <f>IF(AH109="","",ROUND(MOD(AH109,1)*1440,0))</f>
        <v/>
      </c>
      <c r="AJ109">
        <f>IF(T109="","",INDEX('Critères et poids'!$E$29:$E$32,MATCH(T109,'Critères et poids'!$A$29:$A$32,0)))</f>
        <v/>
      </c>
    </row>
    <row r="110">
      <c r="A110" s="13" t="n"/>
      <c r="B110" s="6" t="n"/>
      <c r="C110" s="6" t="n"/>
      <c r="D110" s="4" t="n"/>
      <c r="E110" s="4" t="n"/>
      <c r="F110" s="4" t="n"/>
      <c r="G110" s="4" t="n"/>
      <c r="H110" s="4" t="n"/>
      <c r="I110" s="4" t="n"/>
      <c r="J110" s="4" t="n"/>
      <c r="K110" s="4" t="n"/>
      <c r="L110" s="4" t="n"/>
      <c r="M110" s="4" t="n"/>
      <c r="N110" s="6" t="n"/>
      <c r="O110" s="6" t="n"/>
      <c r="P110" s="14">
        <f>IF($B110="","",(E110="Clair")*'Critères et poids'!$G$5+(E110="Partiel")*'Critères et poids'!$G$5/2+(F110="Clair")*'Critères et poids'!$G$6+(F110="Partiel")*'Critères et poids'!$G$6/2+(G110="Clair")*'Critères et poids'!$G$7+(G110="Partiel")*'Critères et poids'!$G$7/2+(H110="Clair")*'Critères et poids'!$G$8+(H110="Partiel")*'Critères et poids'!$G$8/2)</f>
        <v/>
      </c>
      <c r="Q110" s="14">
        <f>IF($B110="","",(I110="Clair")*'Critères et poids'!$G$9+(I110="Partiel")*'Critères et poids'!$G$9/2+(J110="Clair")*'Critères et poids'!$G$10+(J110="Partiel")*'Critères et poids'!$G$10/2+(K110="Clair")*'Critères et poids'!$G$11+(K110="Partiel")*'Critères et poids'!$G$11/2+(L110="Clair")*'Critères et poids'!$G$12+(L110="Partiel")*'Critères et poids'!$G$12/2+(M110="Clair")*'Critères et poids'!$G$13+(M110="Partiel")*'Critères et poids'!$G$13/2)</f>
        <v/>
      </c>
      <c r="R110" s="14">
        <f>IF($B110="","",IFERROR(VLOOKUP(N110,'Critères et poids'!$B$17:$C$20,2,FALSE),0))</f>
        <v/>
      </c>
      <c r="S110" s="9">
        <f>IF($B110="","",MAX(0,P110+Q110+R110))</f>
        <v/>
      </c>
      <c r="T110" s="9">
        <f>IF($B110="","",IF(O110&lt;&gt;"","X",IF(S110&gt;='Critères et poids'!$C$29,"A",IF(S110&gt;='Critères et poids'!$C$30,"B","C"))))</f>
        <v/>
      </c>
      <c r="U110" s="14">
        <f>IF(T110="","",INDEX('Critères et poids'!$D$29:$D$32,MATCH(T110,'Critères et poids'!$A$29:$A$32,0)))</f>
        <v/>
      </c>
      <c r="V110" s="14">
        <f>IF(T110="","",INDEX('Critères et poids'!$F$29:$F$32,MATCH(T110,'Critères et poids'!$A$29:$A$32,0)))</f>
        <v/>
      </c>
      <c r="W110" s="15">
        <f>IF(OR(AH110="",AJ110=""),"",IF(AI110+AJ110*60&lt;=ROUND('Critères et poids'!$C$37*1440,0),INT(AH110)+(AI110+AJ110*60)/1440,WORKDAY(INT(AH110),1+INT((AI110+AJ110*60-ROUND('Critères et poids'!$C$37*1440,0)-1)/(ROUND('Critères et poids'!$C$37*1440,0)-ROUND('Critères et poids'!$C$36*1440,0))))+(ROUND('Critères et poids'!$C$36*1440,0)+AI110+AJ110*60-ROUND('Critères et poids'!$C$37*1440,0)-INT((AI110+AJ110*60-ROUND('Critères et poids'!$C$37*1440,0)-1)/(ROUND('Critères et poids'!$C$37*1440,0)-ROUND('Critères et poids'!$C$36*1440,0)))*(ROUND('Critères et poids'!$C$37*1440,0)-ROUND('Critères et poids'!$C$36*1440,0)))/1440))</f>
        <v/>
      </c>
      <c r="X110" s="16" t="n"/>
      <c r="Y110" s="14">
        <f>IF(W110="","",IF(X110="",IF(NOW()&gt;W110,"En retard","En attente"),IF(X110&lt;=W110,"À temps","En retard")))</f>
        <v/>
      </c>
      <c r="Z110" s="17" t="n"/>
      <c r="AA110" s="14">
        <f>IF($B110="","",IF(OR(T110="X",AD110&lt;&gt;""),0,MAX(0,MIN(Q110,'Critères et poids'!$C$38*INT((TODAY()-IF(Z110&lt;&gt;"",Z110,INT($A110)))/7)))))</f>
        <v/>
      </c>
      <c r="AB110" s="14">
        <f>IF($B110="","",MAX(0,S110-AA110))</f>
        <v/>
      </c>
      <c r="AC110" s="9">
        <f>IF($B110="","",IF(T110="X","X",IF(AB110&gt;='Critères et poids'!$C$29,"A",IF(AB110&gt;='Critères et poids'!$C$30,"B","C"))))</f>
        <v/>
      </c>
      <c r="AD110" s="4" t="n"/>
      <c r="AE110" s="18" t="n"/>
      <c r="AF110" s="6" t="n"/>
      <c r="AH110">
        <f>IF($A110="","",IF(OR(WEEKDAY($A110,2)&gt;5,ROUND(MOD($A110,1)*1440,0)&gt;=ROUND('Critères et poids'!$C$37*1440,0)),WORKDAY(INT($A110),1)+ROUND('Critères et poids'!$C$36*1440,0)/1440,IF(ROUND(MOD($A110,1)*1440,0)&lt;ROUND('Critères et poids'!$C$36*1440,0),INT($A110)+ROUND('Critères et poids'!$C$36*1440,0)/1440,$A110)))</f>
        <v/>
      </c>
      <c r="AI110">
        <f>IF(AH110="","",ROUND(MOD(AH110,1)*1440,0))</f>
        <v/>
      </c>
      <c r="AJ110">
        <f>IF(T110="","",INDEX('Critères et poids'!$E$29:$E$32,MATCH(T110,'Critères et poids'!$A$29:$A$32,0)))</f>
        <v/>
      </c>
    </row>
    <row r="111">
      <c r="A111" s="13" t="n"/>
      <c r="B111" s="6" t="n"/>
      <c r="C111" s="6" t="n"/>
      <c r="D111" s="4" t="n"/>
      <c r="E111" s="4" t="n"/>
      <c r="F111" s="4" t="n"/>
      <c r="G111" s="4" t="n"/>
      <c r="H111" s="4" t="n"/>
      <c r="I111" s="4" t="n"/>
      <c r="J111" s="4" t="n"/>
      <c r="K111" s="4" t="n"/>
      <c r="L111" s="4" t="n"/>
      <c r="M111" s="4" t="n"/>
      <c r="N111" s="6" t="n"/>
      <c r="O111" s="6" t="n"/>
      <c r="P111" s="14">
        <f>IF($B111="","",(E111="Clair")*'Critères et poids'!$G$5+(E111="Partiel")*'Critères et poids'!$G$5/2+(F111="Clair")*'Critères et poids'!$G$6+(F111="Partiel")*'Critères et poids'!$G$6/2+(G111="Clair")*'Critères et poids'!$G$7+(G111="Partiel")*'Critères et poids'!$G$7/2+(H111="Clair")*'Critères et poids'!$G$8+(H111="Partiel")*'Critères et poids'!$G$8/2)</f>
        <v/>
      </c>
      <c r="Q111" s="14">
        <f>IF($B111="","",(I111="Clair")*'Critères et poids'!$G$9+(I111="Partiel")*'Critères et poids'!$G$9/2+(J111="Clair")*'Critères et poids'!$G$10+(J111="Partiel")*'Critères et poids'!$G$10/2+(K111="Clair")*'Critères et poids'!$G$11+(K111="Partiel")*'Critères et poids'!$G$11/2+(L111="Clair")*'Critères et poids'!$G$12+(L111="Partiel")*'Critères et poids'!$G$12/2+(M111="Clair")*'Critères et poids'!$G$13+(M111="Partiel")*'Critères et poids'!$G$13/2)</f>
        <v/>
      </c>
      <c r="R111" s="14">
        <f>IF($B111="","",IFERROR(VLOOKUP(N111,'Critères et poids'!$B$17:$C$20,2,FALSE),0))</f>
        <v/>
      </c>
      <c r="S111" s="9">
        <f>IF($B111="","",MAX(0,P111+Q111+R111))</f>
        <v/>
      </c>
      <c r="T111" s="9">
        <f>IF($B111="","",IF(O111&lt;&gt;"","X",IF(S111&gt;='Critères et poids'!$C$29,"A",IF(S111&gt;='Critères et poids'!$C$30,"B","C"))))</f>
        <v/>
      </c>
      <c r="U111" s="14">
        <f>IF(T111="","",INDEX('Critères et poids'!$D$29:$D$32,MATCH(T111,'Critères et poids'!$A$29:$A$32,0)))</f>
        <v/>
      </c>
      <c r="V111" s="14">
        <f>IF(T111="","",INDEX('Critères et poids'!$F$29:$F$32,MATCH(T111,'Critères et poids'!$A$29:$A$32,0)))</f>
        <v/>
      </c>
      <c r="W111" s="15">
        <f>IF(OR(AH111="",AJ111=""),"",IF(AI111+AJ111*60&lt;=ROUND('Critères et poids'!$C$37*1440,0),INT(AH111)+(AI111+AJ111*60)/1440,WORKDAY(INT(AH111),1+INT((AI111+AJ111*60-ROUND('Critères et poids'!$C$37*1440,0)-1)/(ROUND('Critères et poids'!$C$37*1440,0)-ROUND('Critères et poids'!$C$36*1440,0))))+(ROUND('Critères et poids'!$C$36*1440,0)+AI111+AJ111*60-ROUND('Critères et poids'!$C$37*1440,0)-INT((AI111+AJ111*60-ROUND('Critères et poids'!$C$37*1440,0)-1)/(ROUND('Critères et poids'!$C$37*1440,0)-ROUND('Critères et poids'!$C$36*1440,0)))*(ROUND('Critères et poids'!$C$37*1440,0)-ROUND('Critères et poids'!$C$36*1440,0)))/1440))</f>
        <v/>
      </c>
      <c r="X111" s="16" t="n"/>
      <c r="Y111" s="14">
        <f>IF(W111="","",IF(X111="",IF(NOW()&gt;W111,"En retard","En attente"),IF(X111&lt;=W111,"À temps","En retard")))</f>
        <v/>
      </c>
      <c r="Z111" s="17" t="n"/>
      <c r="AA111" s="14">
        <f>IF($B111="","",IF(OR(T111="X",AD111&lt;&gt;""),0,MAX(0,MIN(Q111,'Critères et poids'!$C$38*INT((TODAY()-IF(Z111&lt;&gt;"",Z111,INT($A111)))/7)))))</f>
        <v/>
      </c>
      <c r="AB111" s="14">
        <f>IF($B111="","",MAX(0,S111-AA111))</f>
        <v/>
      </c>
      <c r="AC111" s="9">
        <f>IF($B111="","",IF(T111="X","X",IF(AB111&gt;='Critères et poids'!$C$29,"A",IF(AB111&gt;='Critères et poids'!$C$30,"B","C"))))</f>
        <v/>
      </c>
      <c r="AD111" s="4" t="n"/>
      <c r="AE111" s="18" t="n"/>
      <c r="AF111" s="6" t="n"/>
      <c r="AH111">
        <f>IF($A111="","",IF(OR(WEEKDAY($A111,2)&gt;5,ROUND(MOD($A111,1)*1440,0)&gt;=ROUND('Critères et poids'!$C$37*1440,0)),WORKDAY(INT($A111),1)+ROUND('Critères et poids'!$C$36*1440,0)/1440,IF(ROUND(MOD($A111,1)*1440,0)&lt;ROUND('Critères et poids'!$C$36*1440,0),INT($A111)+ROUND('Critères et poids'!$C$36*1440,0)/1440,$A111)))</f>
        <v/>
      </c>
      <c r="AI111">
        <f>IF(AH111="","",ROUND(MOD(AH111,1)*1440,0))</f>
        <v/>
      </c>
      <c r="AJ111">
        <f>IF(T111="","",INDEX('Critères et poids'!$E$29:$E$32,MATCH(T111,'Critères et poids'!$A$29:$A$32,0)))</f>
        <v/>
      </c>
    </row>
    <row r="112">
      <c r="A112" s="13" t="n"/>
      <c r="B112" s="6" t="n"/>
      <c r="C112" s="6" t="n"/>
      <c r="D112" s="4" t="n"/>
      <c r="E112" s="4" t="n"/>
      <c r="F112" s="4" t="n"/>
      <c r="G112" s="4" t="n"/>
      <c r="H112" s="4" t="n"/>
      <c r="I112" s="4" t="n"/>
      <c r="J112" s="4" t="n"/>
      <c r="K112" s="4" t="n"/>
      <c r="L112" s="4" t="n"/>
      <c r="M112" s="4" t="n"/>
      <c r="N112" s="6" t="n"/>
      <c r="O112" s="6" t="n"/>
      <c r="P112" s="14">
        <f>IF($B112="","",(E112="Clair")*'Critères et poids'!$G$5+(E112="Partiel")*'Critères et poids'!$G$5/2+(F112="Clair")*'Critères et poids'!$G$6+(F112="Partiel")*'Critères et poids'!$G$6/2+(G112="Clair")*'Critères et poids'!$G$7+(G112="Partiel")*'Critères et poids'!$G$7/2+(H112="Clair")*'Critères et poids'!$G$8+(H112="Partiel")*'Critères et poids'!$G$8/2)</f>
        <v/>
      </c>
      <c r="Q112" s="14">
        <f>IF($B112="","",(I112="Clair")*'Critères et poids'!$G$9+(I112="Partiel")*'Critères et poids'!$G$9/2+(J112="Clair")*'Critères et poids'!$G$10+(J112="Partiel")*'Critères et poids'!$G$10/2+(K112="Clair")*'Critères et poids'!$G$11+(K112="Partiel")*'Critères et poids'!$G$11/2+(L112="Clair")*'Critères et poids'!$G$12+(L112="Partiel")*'Critères et poids'!$G$12/2+(M112="Clair")*'Critères et poids'!$G$13+(M112="Partiel")*'Critères et poids'!$G$13/2)</f>
        <v/>
      </c>
      <c r="R112" s="14">
        <f>IF($B112="","",IFERROR(VLOOKUP(N112,'Critères et poids'!$B$17:$C$20,2,FALSE),0))</f>
        <v/>
      </c>
      <c r="S112" s="9">
        <f>IF($B112="","",MAX(0,P112+Q112+R112))</f>
        <v/>
      </c>
      <c r="T112" s="9">
        <f>IF($B112="","",IF(O112&lt;&gt;"","X",IF(S112&gt;='Critères et poids'!$C$29,"A",IF(S112&gt;='Critères et poids'!$C$30,"B","C"))))</f>
        <v/>
      </c>
      <c r="U112" s="14">
        <f>IF(T112="","",INDEX('Critères et poids'!$D$29:$D$32,MATCH(T112,'Critères et poids'!$A$29:$A$32,0)))</f>
        <v/>
      </c>
      <c r="V112" s="14">
        <f>IF(T112="","",INDEX('Critères et poids'!$F$29:$F$32,MATCH(T112,'Critères et poids'!$A$29:$A$32,0)))</f>
        <v/>
      </c>
      <c r="W112" s="15">
        <f>IF(OR(AH112="",AJ112=""),"",IF(AI112+AJ112*60&lt;=ROUND('Critères et poids'!$C$37*1440,0),INT(AH112)+(AI112+AJ112*60)/1440,WORKDAY(INT(AH112),1+INT((AI112+AJ112*60-ROUND('Critères et poids'!$C$37*1440,0)-1)/(ROUND('Critères et poids'!$C$37*1440,0)-ROUND('Critères et poids'!$C$36*1440,0))))+(ROUND('Critères et poids'!$C$36*1440,0)+AI112+AJ112*60-ROUND('Critères et poids'!$C$37*1440,0)-INT((AI112+AJ112*60-ROUND('Critères et poids'!$C$37*1440,0)-1)/(ROUND('Critères et poids'!$C$37*1440,0)-ROUND('Critères et poids'!$C$36*1440,0)))*(ROUND('Critères et poids'!$C$37*1440,0)-ROUND('Critères et poids'!$C$36*1440,0)))/1440))</f>
        <v/>
      </c>
      <c r="X112" s="16" t="n"/>
      <c r="Y112" s="14">
        <f>IF(W112="","",IF(X112="",IF(NOW()&gt;W112,"En retard","En attente"),IF(X112&lt;=W112,"À temps","En retard")))</f>
        <v/>
      </c>
      <c r="Z112" s="17" t="n"/>
      <c r="AA112" s="14">
        <f>IF($B112="","",IF(OR(T112="X",AD112&lt;&gt;""),0,MAX(0,MIN(Q112,'Critères et poids'!$C$38*INT((TODAY()-IF(Z112&lt;&gt;"",Z112,INT($A112)))/7)))))</f>
        <v/>
      </c>
      <c r="AB112" s="14">
        <f>IF($B112="","",MAX(0,S112-AA112))</f>
        <v/>
      </c>
      <c r="AC112" s="9">
        <f>IF($B112="","",IF(T112="X","X",IF(AB112&gt;='Critères et poids'!$C$29,"A",IF(AB112&gt;='Critères et poids'!$C$30,"B","C"))))</f>
        <v/>
      </c>
      <c r="AD112" s="4" t="n"/>
      <c r="AE112" s="18" t="n"/>
      <c r="AF112" s="6" t="n"/>
      <c r="AH112">
        <f>IF($A112="","",IF(OR(WEEKDAY($A112,2)&gt;5,ROUND(MOD($A112,1)*1440,0)&gt;=ROUND('Critères et poids'!$C$37*1440,0)),WORKDAY(INT($A112),1)+ROUND('Critères et poids'!$C$36*1440,0)/1440,IF(ROUND(MOD($A112,1)*1440,0)&lt;ROUND('Critères et poids'!$C$36*1440,0),INT($A112)+ROUND('Critères et poids'!$C$36*1440,0)/1440,$A112)))</f>
        <v/>
      </c>
      <c r="AI112">
        <f>IF(AH112="","",ROUND(MOD(AH112,1)*1440,0))</f>
        <v/>
      </c>
      <c r="AJ112">
        <f>IF(T112="","",INDEX('Critères et poids'!$E$29:$E$32,MATCH(T112,'Critères et poids'!$A$29:$A$32,0)))</f>
        <v/>
      </c>
    </row>
    <row r="113">
      <c r="A113" s="13" t="n"/>
      <c r="B113" s="6" t="n"/>
      <c r="C113" s="6" t="n"/>
      <c r="D113" s="4" t="n"/>
      <c r="E113" s="4" t="n"/>
      <c r="F113" s="4" t="n"/>
      <c r="G113" s="4" t="n"/>
      <c r="H113" s="4" t="n"/>
      <c r="I113" s="4" t="n"/>
      <c r="J113" s="4" t="n"/>
      <c r="K113" s="4" t="n"/>
      <c r="L113" s="4" t="n"/>
      <c r="M113" s="4" t="n"/>
      <c r="N113" s="6" t="n"/>
      <c r="O113" s="6" t="n"/>
      <c r="P113" s="14">
        <f>IF($B113="","",(E113="Clair")*'Critères et poids'!$G$5+(E113="Partiel")*'Critères et poids'!$G$5/2+(F113="Clair")*'Critères et poids'!$G$6+(F113="Partiel")*'Critères et poids'!$G$6/2+(G113="Clair")*'Critères et poids'!$G$7+(G113="Partiel")*'Critères et poids'!$G$7/2+(H113="Clair")*'Critères et poids'!$G$8+(H113="Partiel")*'Critères et poids'!$G$8/2)</f>
        <v/>
      </c>
      <c r="Q113" s="14">
        <f>IF($B113="","",(I113="Clair")*'Critères et poids'!$G$9+(I113="Partiel")*'Critères et poids'!$G$9/2+(J113="Clair")*'Critères et poids'!$G$10+(J113="Partiel")*'Critères et poids'!$G$10/2+(K113="Clair")*'Critères et poids'!$G$11+(K113="Partiel")*'Critères et poids'!$G$11/2+(L113="Clair")*'Critères et poids'!$G$12+(L113="Partiel")*'Critères et poids'!$G$12/2+(M113="Clair")*'Critères et poids'!$G$13+(M113="Partiel")*'Critères et poids'!$G$13/2)</f>
        <v/>
      </c>
      <c r="R113" s="14">
        <f>IF($B113="","",IFERROR(VLOOKUP(N113,'Critères et poids'!$B$17:$C$20,2,FALSE),0))</f>
        <v/>
      </c>
      <c r="S113" s="9">
        <f>IF($B113="","",MAX(0,P113+Q113+R113))</f>
        <v/>
      </c>
      <c r="T113" s="9">
        <f>IF($B113="","",IF(O113&lt;&gt;"","X",IF(S113&gt;='Critères et poids'!$C$29,"A",IF(S113&gt;='Critères et poids'!$C$30,"B","C"))))</f>
        <v/>
      </c>
      <c r="U113" s="14">
        <f>IF(T113="","",INDEX('Critères et poids'!$D$29:$D$32,MATCH(T113,'Critères et poids'!$A$29:$A$32,0)))</f>
        <v/>
      </c>
      <c r="V113" s="14">
        <f>IF(T113="","",INDEX('Critères et poids'!$F$29:$F$32,MATCH(T113,'Critères et poids'!$A$29:$A$32,0)))</f>
        <v/>
      </c>
      <c r="W113" s="15">
        <f>IF(OR(AH113="",AJ113=""),"",IF(AI113+AJ113*60&lt;=ROUND('Critères et poids'!$C$37*1440,0),INT(AH113)+(AI113+AJ113*60)/1440,WORKDAY(INT(AH113),1+INT((AI113+AJ113*60-ROUND('Critères et poids'!$C$37*1440,0)-1)/(ROUND('Critères et poids'!$C$37*1440,0)-ROUND('Critères et poids'!$C$36*1440,0))))+(ROUND('Critères et poids'!$C$36*1440,0)+AI113+AJ113*60-ROUND('Critères et poids'!$C$37*1440,0)-INT((AI113+AJ113*60-ROUND('Critères et poids'!$C$37*1440,0)-1)/(ROUND('Critères et poids'!$C$37*1440,0)-ROUND('Critères et poids'!$C$36*1440,0)))*(ROUND('Critères et poids'!$C$37*1440,0)-ROUND('Critères et poids'!$C$36*1440,0)))/1440))</f>
        <v/>
      </c>
      <c r="X113" s="16" t="n"/>
      <c r="Y113" s="14">
        <f>IF(W113="","",IF(X113="",IF(NOW()&gt;W113,"En retard","En attente"),IF(X113&lt;=W113,"À temps","En retard")))</f>
        <v/>
      </c>
      <c r="Z113" s="17" t="n"/>
      <c r="AA113" s="14">
        <f>IF($B113="","",IF(OR(T113="X",AD113&lt;&gt;""),0,MAX(0,MIN(Q113,'Critères et poids'!$C$38*INT((TODAY()-IF(Z113&lt;&gt;"",Z113,INT($A113)))/7)))))</f>
        <v/>
      </c>
      <c r="AB113" s="14">
        <f>IF($B113="","",MAX(0,S113-AA113))</f>
        <v/>
      </c>
      <c r="AC113" s="9">
        <f>IF($B113="","",IF(T113="X","X",IF(AB113&gt;='Critères et poids'!$C$29,"A",IF(AB113&gt;='Critères et poids'!$C$30,"B","C"))))</f>
        <v/>
      </c>
      <c r="AD113" s="4" t="n"/>
      <c r="AE113" s="18" t="n"/>
      <c r="AF113" s="6" t="n"/>
      <c r="AH113">
        <f>IF($A113="","",IF(OR(WEEKDAY($A113,2)&gt;5,ROUND(MOD($A113,1)*1440,0)&gt;=ROUND('Critères et poids'!$C$37*1440,0)),WORKDAY(INT($A113),1)+ROUND('Critères et poids'!$C$36*1440,0)/1440,IF(ROUND(MOD($A113,1)*1440,0)&lt;ROUND('Critères et poids'!$C$36*1440,0),INT($A113)+ROUND('Critères et poids'!$C$36*1440,0)/1440,$A113)))</f>
        <v/>
      </c>
      <c r="AI113">
        <f>IF(AH113="","",ROUND(MOD(AH113,1)*1440,0))</f>
        <v/>
      </c>
      <c r="AJ113">
        <f>IF(T113="","",INDEX('Critères et poids'!$E$29:$E$32,MATCH(T113,'Critères et poids'!$A$29:$A$32,0)))</f>
        <v/>
      </c>
    </row>
    <row r="114">
      <c r="A114" s="13" t="n"/>
      <c r="B114" s="6" t="n"/>
      <c r="C114" s="6" t="n"/>
      <c r="D114" s="4" t="n"/>
      <c r="E114" s="4" t="n"/>
      <c r="F114" s="4" t="n"/>
      <c r="G114" s="4" t="n"/>
      <c r="H114" s="4" t="n"/>
      <c r="I114" s="4" t="n"/>
      <c r="J114" s="4" t="n"/>
      <c r="K114" s="4" t="n"/>
      <c r="L114" s="4" t="n"/>
      <c r="M114" s="4" t="n"/>
      <c r="N114" s="6" t="n"/>
      <c r="O114" s="6" t="n"/>
      <c r="P114" s="14">
        <f>IF($B114="","",(E114="Clair")*'Critères et poids'!$G$5+(E114="Partiel")*'Critères et poids'!$G$5/2+(F114="Clair")*'Critères et poids'!$G$6+(F114="Partiel")*'Critères et poids'!$G$6/2+(G114="Clair")*'Critères et poids'!$G$7+(G114="Partiel")*'Critères et poids'!$G$7/2+(H114="Clair")*'Critères et poids'!$G$8+(H114="Partiel")*'Critères et poids'!$G$8/2)</f>
        <v/>
      </c>
      <c r="Q114" s="14">
        <f>IF($B114="","",(I114="Clair")*'Critères et poids'!$G$9+(I114="Partiel")*'Critères et poids'!$G$9/2+(J114="Clair")*'Critères et poids'!$G$10+(J114="Partiel")*'Critères et poids'!$G$10/2+(K114="Clair")*'Critères et poids'!$G$11+(K114="Partiel")*'Critères et poids'!$G$11/2+(L114="Clair")*'Critères et poids'!$G$12+(L114="Partiel")*'Critères et poids'!$G$12/2+(M114="Clair")*'Critères et poids'!$G$13+(M114="Partiel")*'Critères et poids'!$G$13/2)</f>
        <v/>
      </c>
      <c r="R114" s="14">
        <f>IF($B114="","",IFERROR(VLOOKUP(N114,'Critères et poids'!$B$17:$C$20,2,FALSE),0))</f>
        <v/>
      </c>
      <c r="S114" s="9">
        <f>IF($B114="","",MAX(0,P114+Q114+R114))</f>
        <v/>
      </c>
      <c r="T114" s="9">
        <f>IF($B114="","",IF(O114&lt;&gt;"","X",IF(S114&gt;='Critères et poids'!$C$29,"A",IF(S114&gt;='Critères et poids'!$C$30,"B","C"))))</f>
        <v/>
      </c>
      <c r="U114" s="14">
        <f>IF(T114="","",INDEX('Critères et poids'!$D$29:$D$32,MATCH(T114,'Critères et poids'!$A$29:$A$32,0)))</f>
        <v/>
      </c>
      <c r="V114" s="14">
        <f>IF(T114="","",INDEX('Critères et poids'!$F$29:$F$32,MATCH(T114,'Critères et poids'!$A$29:$A$32,0)))</f>
        <v/>
      </c>
      <c r="W114" s="15">
        <f>IF(OR(AH114="",AJ114=""),"",IF(AI114+AJ114*60&lt;=ROUND('Critères et poids'!$C$37*1440,0),INT(AH114)+(AI114+AJ114*60)/1440,WORKDAY(INT(AH114),1+INT((AI114+AJ114*60-ROUND('Critères et poids'!$C$37*1440,0)-1)/(ROUND('Critères et poids'!$C$37*1440,0)-ROUND('Critères et poids'!$C$36*1440,0))))+(ROUND('Critères et poids'!$C$36*1440,0)+AI114+AJ114*60-ROUND('Critères et poids'!$C$37*1440,0)-INT((AI114+AJ114*60-ROUND('Critères et poids'!$C$37*1440,0)-1)/(ROUND('Critères et poids'!$C$37*1440,0)-ROUND('Critères et poids'!$C$36*1440,0)))*(ROUND('Critères et poids'!$C$37*1440,0)-ROUND('Critères et poids'!$C$36*1440,0)))/1440))</f>
        <v/>
      </c>
      <c r="X114" s="16" t="n"/>
      <c r="Y114" s="14">
        <f>IF(W114="","",IF(X114="",IF(NOW()&gt;W114,"En retard","En attente"),IF(X114&lt;=W114,"À temps","En retard")))</f>
        <v/>
      </c>
      <c r="Z114" s="17" t="n"/>
      <c r="AA114" s="14">
        <f>IF($B114="","",IF(OR(T114="X",AD114&lt;&gt;""),0,MAX(0,MIN(Q114,'Critères et poids'!$C$38*INT((TODAY()-IF(Z114&lt;&gt;"",Z114,INT($A114)))/7)))))</f>
        <v/>
      </c>
      <c r="AB114" s="14">
        <f>IF($B114="","",MAX(0,S114-AA114))</f>
        <v/>
      </c>
      <c r="AC114" s="9">
        <f>IF($B114="","",IF(T114="X","X",IF(AB114&gt;='Critères et poids'!$C$29,"A",IF(AB114&gt;='Critères et poids'!$C$30,"B","C"))))</f>
        <v/>
      </c>
      <c r="AD114" s="4" t="n"/>
      <c r="AE114" s="18" t="n"/>
      <c r="AF114" s="6" t="n"/>
      <c r="AH114">
        <f>IF($A114="","",IF(OR(WEEKDAY($A114,2)&gt;5,ROUND(MOD($A114,1)*1440,0)&gt;=ROUND('Critères et poids'!$C$37*1440,0)),WORKDAY(INT($A114),1)+ROUND('Critères et poids'!$C$36*1440,0)/1440,IF(ROUND(MOD($A114,1)*1440,0)&lt;ROUND('Critères et poids'!$C$36*1440,0),INT($A114)+ROUND('Critères et poids'!$C$36*1440,0)/1440,$A114)))</f>
        <v/>
      </c>
      <c r="AI114">
        <f>IF(AH114="","",ROUND(MOD(AH114,1)*1440,0))</f>
        <v/>
      </c>
      <c r="AJ114">
        <f>IF(T114="","",INDEX('Critères et poids'!$E$29:$E$32,MATCH(T114,'Critères et poids'!$A$29:$A$32,0)))</f>
        <v/>
      </c>
    </row>
    <row r="115">
      <c r="A115" s="13" t="n"/>
      <c r="B115" s="6" t="n"/>
      <c r="C115" s="6" t="n"/>
      <c r="D115" s="4" t="n"/>
      <c r="E115" s="4" t="n"/>
      <c r="F115" s="4" t="n"/>
      <c r="G115" s="4" t="n"/>
      <c r="H115" s="4" t="n"/>
      <c r="I115" s="4" t="n"/>
      <c r="J115" s="4" t="n"/>
      <c r="K115" s="4" t="n"/>
      <c r="L115" s="4" t="n"/>
      <c r="M115" s="4" t="n"/>
      <c r="N115" s="6" t="n"/>
      <c r="O115" s="6" t="n"/>
      <c r="P115" s="14">
        <f>IF($B115="","",(E115="Clair")*'Critères et poids'!$G$5+(E115="Partiel")*'Critères et poids'!$G$5/2+(F115="Clair")*'Critères et poids'!$G$6+(F115="Partiel")*'Critères et poids'!$G$6/2+(G115="Clair")*'Critères et poids'!$G$7+(G115="Partiel")*'Critères et poids'!$G$7/2+(H115="Clair")*'Critères et poids'!$G$8+(H115="Partiel")*'Critères et poids'!$G$8/2)</f>
        <v/>
      </c>
      <c r="Q115" s="14">
        <f>IF($B115="","",(I115="Clair")*'Critères et poids'!$G$9+(I115="Partiel")*'Critères et poids'!$G$9/2+(J115="Clair")*'Critères et poids'!$G$10+(J115="Partiel")*'Critères et poids'!$G$10/2+(K115="Clair")*'Critères et poids'!$G$11+(K115="Partiel")*'Critères et poids'!$G$11/2+(L115="Clair")*'Critères et poids'!$G$12+(L115="Partiel")*'Critères et poids'!$G$12/2+(M115="Clair")*'Critères et poids'!$G$13+(M115="Partiel")*'Critères et poids'!$G$13/2)</f>
        <v/>
      </c>
      <c r="R115" s="14">
        <f>IF($B115="","",IFERROR(VLOOKUP(N115,'Critères et poids'!$B$17:$C$20,2,FALSE),0))</f>
        <v/>
      </c>
      <c r="S115" s="9">
        <f>IF($B115="","",MAX(0,P115+Q115+R115))</f>
        <v/>
      </c>
      <c r="T115" s="9">
        <f>IF($B115="","",IF(O115&lt;&gt;"","X",IF(S115&gt;='Critères et poids'!$C$29,"A",IF(S115&gt;='Critères et poids'!$C$30,"B","C"))))</f>
        <v/>
      </c>
      <c r="U115" s="14">
        <f>IF(T115="","",INDEX('Critères et poids'!$D$29:$D$32,MATCH(T115,'Critères et poids'!$A$29:$A$32,0)))</f>
        <v/>
      </c>
      <c r="V115" s="14">
        <f>IF(T115="","",INDEX('Critères et poids'!$F$29:$F$32,MATCH(T115,'Critères et poids'!$A$29:$A$32,0)))</f>
        <v/>
      </c>
      <c r="W115" s="15">
        <f>IF(OR(AH115="",AJ115=""),"",IF(AI115+AJ115*60&lt;=ROUND('Critères et poids'!$C$37*1440,0),INT(AH115)+(AI115+AJ115*60)/1440,WORKDAY(INT(AH115),1+INT((AI115+AJ115*60-ROUND('Critères et poids'!$C$37*1440,0)-1)/(ROUND('Critères et poids'!$C$37*1440,0)-ROUND('Critères et poids'!$C$36*1440,0))))+(ROUND('Critères et poids'!$C$36*1440,0)+AI115+AJ115*60-ROUND('Critères et poids'!$C$37*1440,0)-INT((AI115+AJ115*60-ROUND('Critères et poids'!$C$37*1440,0)-1)/(ROUND('Critères et poids'!$C$37*1440,0)-ROUND('Critères et poids'!$C$36*1440,0)))*(ROUND('Critères et poids'!$C$37*1440,0)-ROUND('Critères et poids'!$C$36*1440,0)))/1440))</f>
        <v/>
      </c>
      <c r="X115" s="16" t="n"/>
      <c r="Y115" s="14">
        <f>IF(W115="","",IF(X115="",IF(NOW()&gt;W115,"En retard","En attente"),IF(X115&lt;=W115,"À temps","En retard")))</f>
        <v/>
      </c>
      <c r="Z115" s="17" t="n"/>
      <c r="AA115" s="14">
        <f>IF($B115="","",IF(OR(T115="X",AD115&lt;&gt;""),0,MAX(0,MIN(Q115,'Critères et poids'!$C$38*INT((TODAY()-IF(Z115&lt;&gt;"",Z115,INT($A115)))/7)))))</f>
        <v/>
      </c>
      <c r="AB115" s="14">
        <f>IF($B115="","",MAX(0,S115-AA115))</f>
        <v/>
      </c>
      <c r="AC115" s="9">
        <f>IF($B115="","",IF(T115="X","X",IF(AB115&gt;='Critères et poids'!$C$29,"A",IF(AB115&gt;='Critères et poids'!$C$30,"B","C"))))</f>
        <v/>
      </c>
      <c r="AD115" s="4" t="n"/>
      <c r="AE115" s="18" t="n"/>
      <c r="AF115" s="6" t="n"/>
      <c r="AH115">
        <f>IF($A115="","",IF(OR(WEEKDAY($A115,2)&gt;5,ROUND(MOD($A115,1)*1440,0)&gt;=ROUND('Critères et poids'!$C$37*1440,0)),WORKDAY(INT($A115),1)+ROUND('Critères et poids'!$C$36*1440,0)/1440,IF(ROUND(MOD($A115,1)*1440,0)&lt;ROUND('Critères et poids'!$C$36*1440,0),INT($A115)+ROUND('Critères et poids'!$C$36*1440,0)/1440,$A115)))</f>
        <v/>
      </c>
      <c r="AI115">
        <f>IF(AH115="","",ROUND(MOD(AH115,1)*1440,0))</f>
        <v/>
      </c>
      <c r="AJ115">
        <f>IF(T115="","",INDEX('Critères et poids'!$E$29:$E$32,MATCH(T115,'Critères et poids'!$A$29:$A$32,0)))</f>
        <v/>
      </c>
    </row>
    <row r="116">
      <c r="A116" s="13" t="n"/>
      <c r="B116" s="6" t="n"/>
      <c r="C116" s="6" t="n"/>
      <c r="D116" s="4" t="n"/>
      <c r="E116" s="4" t="n"/>
      <c r="F116" s="4" t="n"/>
      <c r="G116" s="4" t="n"/>
      <c r="H116" s="4" t="n"/>
      <c r="I116" s="4" t="n"/>
      <c r="J116" s="4" t="n"/>
      <c r="K116" s="4" t="n"/>
      <c r="L116" s="4" t="n"/>
      <c r="M116" s="4" t="n"/>
      <c r="N116" s="6" t="n"/>
      <c r="O116" s="6" t="n"/>
      <c r="P116" s="14">
        <f>IF($B116="","",(E116="Clair")*'Critères et poids'!$G$5+(E116="Partiel")*'Critères et poids'!$G$5/2+(F116="Clair")*'Critères et poids'!$G$6+(F116="Partiel")*'Critères et poids'!$G$6/2+(G116="Clair")*'Critères et poids'!$G$7+(G116="Partiel")*'Critères et poids'!$G$7/2+(H116="Clair")*'Critères et poids'!$G$8+(H116="Partiel")*'Critères et poids'!$G$8/2)</f>
        <v/>
      </c>
      <c r="Q116" s="14">
        <f>IF($B116="","",(I116="Clair")*'Critères et poids'!$G$9+(I116="Partiel")*'Critères et poids'!$G$9/2+(J116="Clair")*'Critères et poids'!$G$10+(J116="Partiel")*'Critères et poids'!$G$10/2+(K116="Clair")*'Critères et poids'!$G$11+(K116="Partiel")*'Critères et poids'!$G$11/2+(L116="Clair")*'Critères et poids'!$G$12+(L116="Partiel")*'Critères et poids'!$G$12/2+(M116="Clair")*'Critères et poids'!$G$13+(M116="Partiel")*'Critères et poids'!$G$13/2)</f>
        <v/>
      </c>
      <c r="R116" s="14">
        <f>IF($B116="","",IFERROR(VLOOKUP(N116,'Critères et poids'!$B$17:$C$20,2,FALSE),0))</f>
        <v/>
      </c>
      <c r="S116" s="9">
        <f>IF($B116="","",MAX(0,P116+Q116+R116))</f>
        <v/>
      </c>
      <c r="T116" s="9">
        <f>IF($B116="","",IF(O116&lt;&gt;"","X",IF(S116&gt;='Critères et poids'!$C$29,"A",IF(S116&gt;='Critères et poids'!$C$30,"B","C"))))</f>
        <v/>
      </c>
      <c r="U116" s="14">
        <f>IF(T116="","",INDEX('Critères et poids'!$D$29:$D$32,MATCH(T116,'Critères et poids'!$A$29:$A$32,0)))</f>
        <v/>
      </c>
      <c r="V116" s="14">
        <f>IF(T116="","",INDEX('Critères et poids'!$F$29:$F$32,MATCH(T116,'Critères et poids'!$A$29:$A$32,0)))</f>
        <v/>
      </c>
      <c r="W116" s="15">
        <f>IF(OR(AH116="",AJ116=""),"",IF(AI116+AJ116*60&lt;=ROUND('Critères et poids'!$C$37*1440,0),INT(AH116)+(AI116+AJ116*60)/1440,WORKDAY(INT(AH116),1+INT((AI116+AJ116*60-ROUND('Critères et poids'!$C$37*1440,0)-1)/(ROUND('Critères et poids'!$C$37*1440,0)-ROUND('Critères et poids'!$C$36*1440,0))))+(ROUND('Critères et poids'!$C$36*1440,0)+AI116+AJ116*60-ROUND('Critères et poids'!$C$37*1440,0)-INT((AI116+AJ116*60-ROUND('Critères et poids'!$C$37*1440,0)-1)/(ROUND('Critères et poids'!$C$37*1440,0)-ROUND('Critères et poids'!$C$36*1440,0)))*(ROUND('Critères et poids'!$C$37*1440,0)-ROUND('Critères et poids'!$C$36*1440,0)))/1440))</f>
        <v/>
      </c>
      <c r="X116" s="16" t="n"/>
      <c r="Y116" s="14">
        <f>IF(W116="","",IF(X116="",IF(NOW()&gt;W116,"En retard","En attente"),IF(X116&lt;=W116,"À temps","En retard")))</f>
        <v/>
      </c>
      <c r="Z116" s="17" t="n"/>
      <c r="AA116" s="14">
        <f>IF($B116="","",IF(OR(T116="X",AD116&lt;&gt;""),0,MAX(0,MIN(Q116,'Critères et poids'!$C$38*INT((TODAY()-IF(Z116&lt;&gt;"",Z116,INT($A116)))/7)))))</f>
        <v/>
      </c>
      <c r="AB116" s="14">
        <f>IF($B116="","",MAX(0,S116-AA116))</f>
        <v/>
      </c>
      <c r="AC116" s="9">
        <f>IF($B116="","",IF(T116="X","X",IF(AB116&gt;='Critères et poids'!$C$29,"A",IF(AB116&gt;='Critères et poids'!$C$30,"B","C"))))</f>
        <v/>
      </c>
      <c r="AD116" s="4" t="n"/>
      <c r="AE116" s="18" t="n"/>
      <c r="AF116" s="6" t="n"/>
      <c r="AH116">
        <f>IF($A116="","",IF(OR(WEEKDAY($A116,2)&gt;5,ROUND(MOD($A116,1)*1440,0)&gt;=ROUND('Critères et poids'!$C$37*1440,0)),WORKDAY(INT($A116),1)+ROUND('Critères et poids'!$C$36*1440,0)/1440,IF(ROUND(MOD($A116,1)*1440,0)&lt;ROUND('Critères et poids'!$C$36*1440,0),INT($A116)+ROUND('Critères et poids'!$C$36*1440,0)/1440,$A116)))</f>
        <v/>
      </c>
      <c r="AI116">
        <f>IF(AH116="","",ROUND(MOD(AH116,1)*1440,0))</f>
        <v/>
      </c>
      <c r="AJ116">
        <f>IF(T116="","",INDEX('Critères et poids'!$E$29:$E$32,MATCH(T116,'Critères et poids'!$A$29:$A$32,0)))</f>
        <v/>
      </c>
    </row>
    <row r="117">
      <c r="A117" s="13" t="n"/>
      <c r="B117" s="6" t="n"/>
      <c r="C117" s="6" t="n"/>
      <c r="D117" s="4" t="n"/>
      <c r="E117" s="4" t="n"/>
      <c r="F117" s="4" t="n"/>
      <c r="G117" s="4" t="n"/>
      <c r="H117" s="4" t="n"/>
      <c r="I117" s="4" t="n"/>
      <c r="J117" s="4" t="n"/>
      <c r="K117" s="4" t="n"/>
      <c r="L117" s="4" t="n"/>
      <c r="M117" s="4" t="n"/>
      <c r="N117" s="6" t="n"/>
      <c r="O117" s="6" t="n"/>
      <c r="P117" s="14">
        <f>IF($B117="","",(E117="Clair")*'Critères et poids'!$G$5+(E117="Partiel")*'Critères et poids'!$G$5/2+(F117="Clair")*'Critères et poids'!$G$6+(F117="Partiel")*'Critères et poids'!$G$6/2+(G117="Clair")*'Critères et poids'!$G$7+(G117="Partiel")*'Critères et poids'!$G$7/2+(H117="Clair")*'Critères et poids'!$G$8+(H117="Partiel")*'Critères et poids'!$G$8/2)</f>
        <v/>
      </c>
      <c r="Q117" s="14">
        <f>IF($B117="","",(I117="Clair")*'Critères et poids'!$G$9+(I117="Partiel")*'Critères et poids'!$G$9/2+(J117="Clair")*'Critères et poids'!$G$10+(J117="Partiel")*'Critères et poids'!$G$10/2+(K117="Clair")*'Critères et poids'!$G$11+(K117="Partiel")*'Critères et poids'!$G$11/2+(L117="Clair")*'Critères et poids'!$G$12+(L117="Partiel")*'Critères et poids'!$G$12/2+(M117="Clair")*'Critères et poids'!$G$13+(M117="Partiel")*'Critères et poids'!$G$13/2)</f>
        <v/>
      </c>
      <c r="R117" s="14">
        <f>IF($B117="","",IFERROR(VLOOKUP(N117,'Critères et poids'!$B$17:$C$20,2,FALSE),0))</f>
        <v/>
      </c>
      <c r="S117" s="9">
        <f>IF($B117="","",MAX(0,P117+Q117+R117))</f>
        <v/>
      </c>
      <c r="T117" s="9">
        <f>IF($B117="","",IF(O117&lt;&gt;"","X",IF(S117&gt;='Critères et poids'!$C$29,"A",IF(S117&gt;='Critères et poids'!$C$30,"B","C"))))</f>
        <v/>
      </c>
      <c r="U117" s="14">
        <f>IF(T117="","",INDEX('Critères et poids'!$D$29:$D$32,MATCH(T117,'Critères et poids'!$A$29:$A$32,0)))</f>
        <v/>
      </c>
      <c r="V117" s="14">
        <f>IF(T117="","",INDEX('Critères et poids'!$F$29:$F$32,MATCH(T117,'Critères et poids'!$A$29:$A$32,0)))</f>
        <v/>
      </c>
      <c r="W117" s="15">
        <f>IF(OR(AH117="",AJ117=""),"",IF(AI117+AJ117*60&lt;=ROUND('Critères et poids'!$C$37*1440,0),INT(AH117)+(AI117+AJ117*60)/1440,WORKDAY(INT(AH117),1+INT((AI117+AJ117*60-ROUND('Critères et poids'!$C$37*1440,0)-1)/(ROUND('Critères et poids'!$C$37*1440,0)-ROUND('Critères et poids'!$C$36*1440,0))))+(ROUND('Critères et poids'!$C$36*1440,0)+AI117+AJ117*60-ROUND('Critères et poids'!$C$37*1440,0)-INT((AI117+AJ117*60-ROUND('Critères et poids'!$C$37*1440,0)-1)/(ROUND('Critères et poids'!$C$37*1440,0)-ROUND('Critères et poids'!$C$36*1440,0)))*(ROUND('Critères et poids'!$C$37*1440,0)-ROUND('Critères et poids'!$C$36*1440,0)))/1440))</f>
        <v/>
      </c>
      <c r="X117" s="16" t="n"/>
      <c r="Y117" s="14">
        <f>IF(W117="","",IF(X117="",IF(NOW()&gt;W117,"En retard","En attente"),IF(X117&lt;=W117,"À temps","En retard")))</f>
        <v/>
      </c>
      <c r="Z117" s="17" t="n"/>
      <c r="AA117" s="14">
        <f>IF($B117="","",IF(OR(T117="X",AD117&lt;&gt;""),0,MAX(0,MIN(Q117,'Critères et poids'!$C$38*INT((TODAY()-IF(Z117&lt;&gt;"",Z117,INT($A117)))/7)))))</f>
        <v/>
      </c>
      <c r="AB117" s="14">
        <f>IF($B117="","",MAX(0,S117-AA117))</f>
        <v/>
      </c>
      <c r="AC117" s="9">
        <f>IF($B117="","",IF(T117="X","X",IF(AB117&gt;='Critères et poids'!$C$29,"A",IF(AB117&gt;='Critères et poids'!$C$30,"B","C"))))</f>
        <v/>
      </c>
      <c r="AD117" s="4" t="n"/>
      <c r="AE117" s="18" t="n"/>
      <c r="AF117" s="6" t="n"/>
      <c r="AH117">
        <f>IF($A117="","",IF(OR(WEEKDAY($A117,2)&gt;5,ROUND(MOD($A117,1)*1440,0)&gt;=ROUND('Critères et poids'!$C$37*1440,0)),WORKDAY(INT($A117),1)+ROUND('Critères et poids'!$C$36*1440,0)/1440,IF(ROUND(MOD($A117,1)*1440,0)&lt;ROUND('Critères et poids'!$C$36*1440,0),INT($A117)+ROUND('Critères et poids'!$C$36*1440,0)/1440,$A117)))</f>
        <v/>
      </c>
      <c r="AI117">
        <f>IF(AH117="","",ROUND(MOD(AH117,1)*1440,0))</f>
        <v/>
      </c>
      <c r="AJ117">
        <f>IF(T117="","",INDEX('Critères et poids'!$E$29:$E$32,MATCH(T117,'Critères et poids'!$A$29:$A$32,0)))</f>
        <v/>
      </c>
    </row>
    <row r="118">
      <c r="A118" s="13" t="n"/>
      <c r="B118" s="6" t="n"/>
      <c r="C118" s="6" t="n"/>
      <c r="D118" s="4" t="n"/>
      <c r="E118" s="4" t="n"/>
      <c r="F118" s="4" t="n"/>
      <c r="G118" s="4" t="n"/>
      <c r="H118" s="4" t="n"/>
      <c r="I118" s="4" t="n"/>
      <c r="J118" s="4" t="n"/>
      <c r="K118" s="4" t="n"/>
      <c r="L118" s="4" t="n"/>
      <c r="M118" s="4" t="n"/>
      <c r="N118" s="6" t="n"/>
      <c r="O118" s="6" t="n"/>
      <c r="P118" s="14">
        <f>IF($B118="","",(E118="Clair")*'Critères et poids'!$G$5+(E118="Partiel")*'Critères et poids'!$G$5/2+(F118="Clair")*'Critères et poids'!$G$6+(F118="Partiel")*'Critères et poids'!$G$6/2+(G118="Clair")*'Critères et poids'!$G$7+(G118="Partiel")*'Critères et poids'!$G$7/2+(H118="Clair")*'Critères et poids'!$G$8+(H118="Partiel")*'Critères et poids'!$G$8/2)</f>
        <v/>
      </c>
      <c r="Q118" s="14">
        <f>IF($B118="","",(I118="Clair")*'Critères et poids'!$G$9+(I118="Partiel")*'Critères et poids'!$G$9/2+(J118="Clair")*'Critères et poids'!$G$10+(J118="Partiel")*'Critères et poids'!$G$10/2+(K118="Clair")*'Critères et poids'!$G$11+(K118="Partiel")*'Critères et poids'!$G$11/2+(L118="Clair")*'Critères et poids'!$G$12+(L118="Partiel")*'Critères et poids'!$G$12/2+(M118="Clair")*'Critères et poids'!$G$13+(M118="Partiel")*'Critères et poids'!$G$13/2)</f>
        <v/>
      </c>
      <c r="R118" s="14">
        <f>IF($B118="","",IFERROR(VLOOKUP(N118,'Critères et poids'!$B$17:$C$20,2,FALSE),0))</f>
        <v/>
      </c>
      <c r="S118" s="9">
        <f>IF($B118="","",MAX(0,P118+Q118+R118))</f>
        <v/>
      </c>
      <c r="T118" s="9">
        <f>IF($B118="","",IF(O118&lt;&gt;"","X",IF(S118&gt;='Critères et poids'!$C$29,"A",IF(S118&gt;='Critères et poids'!$C$30,"B","C"))))</f>
        <v/>
      </c>
      <c r="U118" s="14">
        <f>IF(T118="","",INDEX('Critères et poids'!$D$29:$D$32,MATCH(T118,'Critères et poids'!$A$29:$A$32,0)))</f>
        <v/>
      </c>
      <c r="V118" s="14">
        <f>IF(T118="","",INDEX('Critères et poids'!$F$29:$F$32,MATCH(T118,'Critères et poids'!$A$29:$A$32,0)))</f>
        <v/>
      </c>
      <c r="W118" s="15">
        <f>IF(OR(AH118="",AJ118=""),"",IF(AI118+AJ118*60&lt;=ROUND('Critères et poids'!$C$37*1440,0),INT(AH118)+(AI118+AJ118*60)/1440,WORKDAY(INT(AH118),1+INT((AI118+AJ118*60-ROUND('Critères et poids'!$C$37*1440,0)-1)/(ROUND('Critères et poids'!$C$37*1440,0)-ROUND('Critères et poids'!$C$36*1440,0))))+(ROUND('Critères et poids'!$C$36*1440,0)+AI118+AJ118*60-ROUND('Critères et poids'!$C$37*1440,0)-INT((AI118+AJ118*60-ROUND('Critères et poids'!$C$37*1440,0)-1)/(ROUND('Critères et poids'!$C$37*1440,0)-ROUND('Critères et poids'!$C$36*1440,0)))*(ROUND('Critères et poids'!$C$37*1440,0)-ROUND('Critères et poids'!$C$36*1440,0)))/1440))</f>
        <v/>
      </c>
      <c r="X118" s="16" t="n"/>
      <c r="Y118" s="14">
        <f>IF(W118="","",IF(X118="",IF(NOW()&gt;W118,"En retard","En attente"),IF(X118&lt;=W118,"À temps","En retard")))</f>
        <v/>
      </c>
      <c r="Z118" s="17" t="n"/>
      <c r="AA118" s="14">
        <f>IF($B118="","",IF(OR(T118="X",AD118&lt;&gt;""),0,MAX(0,MIN(Q118,'Critères et poids'!$C$38*INT((TODAY()-IF(Z118&lt;&gt;"",Z118,INT($A118)))/7)))))</f>
        <v/>
      </c>
      <c r="AB118" s="14">
        <f>IF($B118="","",MAX(0,S118-AA118))</f>
        <v/>
      </c>
      <c r="AC118" s="9">
        <f>IF($B118="","",IF(T118="X","X",IF(AB118&gt;='Critères et poids'!$C$29,"A",IF(AB118&gt;='Critères et poids'!$C$30,"B","C"))))</f>
        <v/>
      </c>
      <c r="AD118" s="4" t="n"/>
      <c r="AE118" s="18" t="n"/>
      <c r="AF118" s="6" t="n"/>
      <c r="AH118">
        <f>IF($A118="","",IF(OR(WEEKDAY($A118,2)&gt;5,ROUND(MOD($A118,1)*1440,0)&gt;=ROUND('Critères et poids'!$C$37*1440,0)),WORKDAY(INT($A118),1)+ROUND('Critères et poids'!$C$36*1440,0)/1440,IF(ROUND(MOD($A118,1)*1440,0)&lt;ROUND('Critères et poids'!$C$36*1440,0),INT($A118)+ROUND('Critères et poids'!$C$36*1440,0)/1440,$A118)))</f>
        <v/>
      </c>
      <c r="AI118">
        <f>IF(AH118="","",ROUND(MOD(AH118,1)*1440,0))</f>
        <v/>
      </c>
      <c r="AJ118">
        <f>IF(T118="","",INDEX('Critères et poids'!$E$29:$E$32,MATCH(T118,'Critères et poids'!$A$29:$A$32,0)))</f>
        <v/>
      </c>
    </row>
    <row r="119">
      <c r="A119" s="13" t="n"/>
      <c r="B119" s="6" t="n"/>
      <c r="C119" s="6" t="n"/>
      <c r="D119" s="4" t="n"/>
      <c r="E119" s="4" t="n"/>
      <c r="F119" s="4" t="n"/>
      <c r="G119" s="4" t="n"/>
      <c r="H119" s="4" t="n"/>
      <c r="I119" s="4" t="n"/>
      <c r="J119" s="4" t="n"/>
      <c r="K119" s="4" t="n"/>
      <c r="L119" s="4" t="n"/>
      <c r="M119" s="4" t="n"/>
      <c r="N119" s="6" t="n"/>
      <c r="O119" s="6" t="n"/>
      <c r="P119" s="14">
        <f>IF($B119="","",(E119="Clair")*'Critères et poids'!$G$5+(E119="Partiel")*'Critères et poids'!$G$5/2+(F119="Clair")*'Critères et poids'!$G$6+(F119="Partiel")*'Critères et poids'!$G$6/2+(G119="Clair")*'Critères et poids'!$G$7+(G119="Partiel")*'Critères et poids'!$G$7/2+(H119="Clair")*'Critères et poids'!$G$8+(H119="Partiel")*'Critères et poids'!$G$8/2)</f>
        <v/>
      </c>
      <c r="Q119" s="14">
        <f>IF($B119="","",(I119="Clair")*'Critères et poids'!$G$9+(I119="Partiel")*'Critères et poids'!$G$9/2+(J119="Clair")*'Critères et poids'!$G$10+(J119="Partiel")*'Critères et poids'!$G$10/2+(K119="Clair")*'Critères et poids'!$G$11+(K119="Partiel")*'Critères et poids'!$G$11/2+(L119="Clair")*'Critères et poids'!$G$12+(L119="Partiel")*'Critères et poids'!$G$12/2+(M119="Clair")*'Critères et poids'!$G$13+(M119="Partiel")*'Critères et poids'!$G$13/2)</f>
        <v/>
      </c>
      <c r="R119" s="14">
        <f>IF($B119="","",IFERROR(VLOOKUP(N119,'Critères et poids'!$B$17:$C$20,2,FALSE),0))</f>
        <v/>
      </c>
      <c r="S119" s="9">
        <f>IF($B119="","",MAX(0,P119+Q119+R119))</f>
        <v/>
      </c>
      <c r="T119" s="9">
        <f>IF($B119="","",IF(O119&lt;&gt;"","X",IF(S119&gt;='Critères et poids'!$C$29,"A",IF(S119&gt;='Critères et poids'!$C$30,"B","C"))))</f>
        <v/>
      </c>
      <c r="U119" s="14">
        <f>IF(T119="","",INDEX('Critères et poids'!$D$29:$D$32,MATCH(T119,'Critères et poids'!$A$29:$A$32,0)))</f>
        <v/>
      </c>
      <c r="V119" s="14">
        <f>IF(T119="","",INDEX('Critères et poids'!$F$29:$F$32,MATCH(T119,'Critères et poids'!$A$29:$A$32,0)))</f>
        <v/>
      </c>
      <c r="W119" s="15">
        <f>IF(OR(AH119="",AJ119=""),"",IF(AI119+AJ119*60&lt;=ROUND('Critères et poids'!$C$37*1440,0),INT(AH119)+(AI119+AJ119*60)/1440,WORKDAY(INT(AH119),1+INT((AI119+AJ119*60-ROUND('Critères et poids'!$C$37*1440,0)-1)/(ROUND('Critères et poids'!$C$37*1440,0)-ROUND('Critères et poids'!$C$36*1440,0))))+(ROUND('Critères et poids'!$C$36*1440,0)+AI119+AJ119*60-ROUND('Critères et poids'!$C$37*1440,0)-INT((AI119+AJ119*60-ROUND('Critères et poids'!$C$37*1440,0)-1)/(ROUND('Critères et poids'!$C$37*1440,0)-ROUND('Critères et poids'!$C$36*1440,0)))*(ROUND('Critères et poids'!$C$37*1440,0)-ROUND('Critères et poids'!$C$36*1440,0)))/1440))</f>
        <v/>
      </c>
      <c r="X119" s="16" t="n"/>
      <c r="Y119" s="14">
        <f>IF(W119="","",IF(X119="",IF(NOW()&gt;W119,"En retard","En attente"),IF(X119&lt;=W119,"À temps","En retard")))</f>
        <v/>
      </c>
      <c r="Z119" s="17" t="n"/>
      <c r="AA119" s="14">
        <f>IF($B119="","",IF(OR(T119="X",AD119&lt;&gt;""),0,MAX(0,MIN(Q119,'Critères et poids'!$C$38*INT((TODAY()-IF(Z119&lt;&gt;"",Z119,INT($A119)))/7)))))</f>
        <v/>
      </c>
      <c r="AB119" s="14">
        <f>IF($B119="","",MAX(0,S119-AA119))</f>
        <v/>
      </c>
      <c r="AC119" s="9">
        <f>IF($B119="","",IF(T119="X","X",IF(AB119&gt;='Critères et poids'!$C$29,"A",IF(AB119&gt;='Critères et poids'!$C$30,"B","C"))))</f>
        <v/>
      </c>
      <c r="AD119" s="4" t="n"/>
      <c r="AE119" s="18" t="n"/>
      <c r="AF119" s="6" t="n"/>
      <c r="AH119">
        <f>IF($A119="","",IF(OR(WEEKDAY($A119,2)&gt;5,ROUND(MOD($A119,1)*1440,0)&gt;=ROUND('Critères et poids'!$C$37*1440,0)),WORKDAY(INT($A119),1)+ROUND('Critères et poids'!$C$36*1440,0)/1440,IF(ROUND(MOD($A119,1)*1440,0)&lt;ROUND('Critères et poids'!$C$36*1440,0),INT($A119)+ROUND('Critères et poids'!$C$36*1440,0)/1440,$A119)))</f>
        <v/>
      </c>
      <c r="AI119">
        <f>IF(AH119="","",ROUND(MOD(AH119,1)*1440,0))</f>
        <v/>
      </c>
      <c r="AJ119">
        <f>IF(T119="","",INDEX('Critères et poids'!$E$29:$E$32,MATCH(T119,'Critères et poids'!$A$29:$A$32,0)))</f>
        <v/>
      </c>
    </row>
    <row r="120">
      <c r="A120" s="13" t="n"/>
      <c r="B120" s="6" t="n"/>
      <c r="C120" s="6" t="n"/>
      <c r="D120" s="4" t="n"/>
      <c r="E120" s="4" t="n"/>
      <c r="F120" s="4" t="n"/>
      <c r="G120" s="4" t="n"/>
      <c r="H120" s="4" t="n"/>
      <c r="I120" s="4" t="n"/>
      <c r="J120" s="4" t="n"/>
      <c r="K120" s="4" t="n"/>
      <c r="L120" s="4" t="n"/>
      <c r="M120" s="4" t="n"/>
      <c r="N120" s="6" t="n"/>
      <c r="O120" s="6" t="n"/>
      <c r="P120" s="14">
        <f>IF($B120="","",(E120="Clair")*'Critères et poids'!$G$5+(E120="Partiel")*'Critères et poids'!$G$5/2+(F120="Clair")*'Critères et poids'!$G$6+(F120="Partiel")*'Critères et poids'!$G$6/2+(G120="Clair")*'Critères et poids'!$G$7+(G120="Partiel")*'Critères et poids'!$G$7/2+(H120="Clair")*'Critères et poids'!$G$8+(H120="Partiel")*'Critères et poids'!$G$8/2)</f>
        <v/>
      </c>
      <c r="Q120" s="14">
        <f>IF($B120="","",(I120="Clair")*'Critères et poids'!$G$9+(I120="Partiel")*'Critères et poids'!$G$9/2+(J120="Clair")*'Critères et poids'!$G$10+(J120="Partiel")*'Critères et poids'!$G$10/2+(K120="Clair")*'Critères et poids'!$G$11+(K120="Partiel")*'Critères et poids'!$G$11/2+(L120="Clair")*'Critères et poids'!$G$12+(L120="Partiel")*'Critères et poids'!$G$12/2+(M120="Clair")*'Critères et poids'!$G$13+(M120="Partiel")*'Critères et poids'!$G$13/2)</f>
        <v/>
      </c>
      <c r="R120" s="14">
        <f>IF($B120="","",IFERROR(VLOOKUP(N120,'Critères et poids'!$B$17:$C$20,2,FALSE),0))</f>
        <v/>
      </c>
      <c r="S120" s="9">
        <f>IF($B120="","",MAX(0,P120+Q120+R120))</f>
        <v/>
      </c>
      <c r="T120" s="9">
        <f>IF($B120="","",IF(O120&lt;&gt;"","X",IF(S120&gt;='Critères et poids'!$C$29,"A",IF(S120&gt;='Critères et poids'!$C$30,"B","C"))))</f>
        <v/>
      </c>
      <c r="U120" s="14">
        <f>IF(T120="","",INDEX('Critères et poids'!$D$29:$D$32,MATCH(T120,'Critères et poids'!$A$29:$A$32,0)))</f>
        <v/>
      </c>
      <c r="V120" s="14">
        <f>IF(T120="","",INDEX('Critères et poids'!$F$29:$F$32,MATCH(T120,'Critères et poids'!$A$29:$A$32,0)))</f>
        <v/>
      </c>
      <c r="W120" s="15">
        <f>IF(OR(AH120="",AJ120=""),"",IF(AI120+AJ120*60&lt;=ROUND('Critères et poids'!$C$37*1440,0),INT(AH120)+(AI120+AJ120*60)/1440,WORKDAY(INT(AH120),1+INT((AI120+AJ120*60-ROUND('Critères et poids'!$C$37*1440,0)-1)/(ROUND('Critères et poids'!$C$37*1440,0)-ROUND('Critères et poids'!$C$36*1440,0))))+(ROUND('Critères et poids'!$C$36*1440,0)+AI120+AJ120*60-ROUND('Critères et poids'!$C$37*1440,0)-INT((AI120+AJ120*60-ROUND('Critères et poids'!$C$37*1440,0)-1)/(ROUND('Critères et poids'!$C$37*1440,0)-ROUND('Critères et poids'!$C$36*1440,0)))*(ROUND('Critères et poids'!$C$37*1440,0)-ROUND('Critères et poids'!$C$36*1440,0)))/1440))</f>
        <v/>
      </c>
      <c r="X120" s="16" t="n"/>
      <c r="Y120" s="14">
        <f>IF(W120="","",IF(X120="",IF(NOW()&gt;W120,"En retard","En attente"),IF(X120&lt;=W120,"À temps","En retard")))</f>
        <v/>
      </c>
      <c r="Z120" s="17" t="n"/>
      <c r="AA120" s="14">
        <f>IF($B120="","",IF(OR(T120="X",AD120&lt;&gt;""),0,MAX(0,MIN(Q120,'Critères et poids'!$C$38*INT((TODAY()-IF(Z120&lt;&gt;"",Z120,INT($A120)))/7)))))</f>
        <v/>
      </c>
      <c r="AB120" s="14">
        <f>IF($B120="","",MAX(0,S120-AA120))</f>
        <v/>
      </c>
      <c r="AC120" s="9">
        <f>IF($B120="","",IF(T120="X","X",IF(AB120&gt;='Critères et poids'!$C$29,"A",IF(AB120&gt;='Critères et poids'!$C$30,"B","C"))))</f>
        <v/>
      </c>
      <c r="AD120" s="4" t="n"/>
      <c r="AE120" s="18" t="n"/>
      <c r="AF120" s="6" t="n"/>
      <c r="AH120">
        <f>IF($A120="","",IF(OR(WEEKDAY($A120,2)&gt;5,ROUND(MOD($A120,1)*1440,0)&gt;=ROUND('Critères et poids'!$C$37*1440,0)),WORKDAY(INT($A120),1)+ROUND('Critères et poids'!$C$36*1440,0)/1440,IF(ROUND(MOD($A120,1)*1440,0)&lt;ROUND('Critères et poids'!$C$36*1440,0),INT($A120)+ROUND('Critères et poids'!$C$36*1440,0)/1440,$A120)))</f>
        <v/>
      </c>
      <c r="AI120">
        <f>IF(AH120="","",ROUND(MOD(AH120,1)*1440,0))</f>
        <v/>
      </c>
      <c r="AJ120">
        <f>IF(T120="","",INDEX('Critères et poids'!$E$29:$E$32,MATCH(T120,'Critères et poids'!$A$29:$A$32,0)))</f>
        <v/>
      </c>
    </row>
    <row r="121">
      <c r="A121" s="13" t="n"/>
      <c r="B121" s="6" t="n"/>
      <c r="C121" s="6" t="n"/>
      <c r="D121" s="4" t="n"/>
      <c r="E121" s="4" t="n"/>
      <c r="F121" s="4" t="n"/>
      <c r="G121" s="4" t="n"/>
      <c r="H121" s="4" t="n"/>
      <c r="I121" s="4" t="n"/>
      <c r="J121" s="4" t="n"/>
      <c r="K121" s="4" t="n"/>
      <c r="L121" s="4" t="n"/>
      <c r="M121" s="4" t="n"/>
      <c r="N121" s="6" t="n"/>
      <c r="O121" s="6" t="n"/>
      <c r="P121" s="14">
        <f>IF($B121="","",(E121="Clair")*'Critères et poids'!$G$5+(E121="Partiel")*'Critères et poids'!$G$5/2+(F121="Clair")*'Critères et poids'!$G$6+(F121="Partiel")*'Critères et poids'!$G$6/2+(G121="Clair")*'Critères et poids'!$G$7+(G121="Partiel")*'Critères et poids'!$G$7/2+(H121="Clair")*'Critères et poids'!$G$8+(H121="Partiel")*'Critères et poids'!$G$8/2)</f>
        <v/>
      </c>
      <c r="Q121" s="14">
        <f>IF($B121="","",(I121="Clair")*'Critères et poids'!$G$9+(I121="Partiel")*'Critères et poids'!$G$9/2+(J121="Clair")*'Critères et poids'!$G$10+(J121="Partiel")*'Critères et poids'!$G$10/2+(K121="Clair")*'Critères et poids'!$G$11+(K121="Partiel")*'Critères et poids'!$G$11/2+(L121="Clair")*'Critères et poids'!$G$12+(L121="Partiel")*'Critères et poids'!$G$12/2+(M121="Clair")*'Critères et poids'!$G$13+(M121="Partiel")*'Critères et poids'!$G$13/2)</f>
        <v/>
      </c>
      <c r="R121" s="14">
        <f>IF($B121="","",IFERROR(VLOOKUP(N121,'Critères et poids'!$B$17:$C$20,2,FALSE),0))</f>
        <v/>
      </c>
      <c r="S121" s="9">
        <f>IF($B121="","",MAX(0,P121+Q121+R121))</f>
        <v/>
      </c>
      <c r="T121" s="9">
        <f>IF($B121="","",IF(O121&lt;&gt;"","X",IF(S121&gt;='Critères et poids'!$C$29,"A",IF(S121&gt;='Critères et poids'!$C$30,"B","C"))))</f>
        <v/>
      </c>
      <c r="U121" s="14">
        <f>IF(T121="","",INDEX('Critères et poids'!$D$29:$D$32,MATCH(T121,'Critères et poids'!$A$29:$A$32,0)))</f>
        <v/>
      </c>
      <c r="V121" s="14">
        <f>IF(T121="","",INDEX('Critères et poids'!$F$29:$F$32,MATCH(T121,'Critères et poids'!$A$29:$A$32,0)))</f>
        <v/>
      </c>
      <c r="W121" s="15">
        <f>IF(OR(AH121="",AJ121=""),"",IF(AI121+AJ121*60&lt;=ROUND('Critères et poids'!$C$37*1440,0),INT(AH121)+(AI121+AJ121*60)/1440,WORKDAY(INT(AH121),1+INT((AI121+AJ121*60-ROUND('Critères et poids'!$C$37*1440,0)-1)/(ROUND('Critères et poids'!$C$37*1440,0)-ROUND('Critères et poids'!$C$36*1440,0))))+(ROUND('Critères et poids'!$C$36*1440,0)+AI121+AJ121*60-ROUND('Critères et poids'!$C$37*1440,0)-INT((AI121+AJ121*60-ROUND('Critères et poids'!$C$37*1440,0)-1)/(ROUND('Critères et poids'!$C$37*1440,0)-ROUND('Critères et poids'!$C$36*1440,0)))*(ROUND('Critères et poids'!$C$37*1440,0)-ROUND('Critères et poids'!$C$36*1440,0)))/1440))</f>
        <v/>
      </c>
      <c r="X121" s="16" t="n"/>
      <c r="Y121" s="14">
        <f>IF(W121="","",IF(X121="",IF(NOW()&gt;W121,"En retard","En attente"),IF(X121&lt;=W121,"À temps","En retard")))</f>
        <v/>
      </c>
      <c r="Z121" s="17" t="n"/>
      <c r="AA121" s="14">
        <f>IF($B121="","",IF(OR(T121="X",AD121&lt;&gt;""),0,MAX(0,MIN(Q121,'Critères et poids'!$C$38*INT((TODAY()-IF(Z121&lt;&gt;"",Z121,INT($A121)))/7)))))</f>
        <v/>
      </c>
      <c r="AB121" s="14">
        <f>IF($B121="","",MAX(0,S121-AA121))</f>
        <v/>
      </c>
      <c r="AC121" s="9">
        <f>IF($B121="","",IF(T121="X","X",IF(AB121&gt;='Critères et poids'!$C$29,"A",IF(AB121&gt;='Critères et poids'!$C$30,"B","C"))))</f>
        <v/>
      </c>
      <c r="AD121" s="4" t="n"/>
      <c r="AE121" s="18" t="n"/>
      <c r="AF121" s="6" t="n"/>
      <c r="AH121">
        <f>IF($A121="","",IF(OR(WEEKDAY($A121,2)&gt;5,ROUND(MOD($A121,1)*1440,0)&gt;=ROUND('Critères et poids'!$C$37*1440,0)),WORKDAY(INT($A121),1)+ROUND('Critères et poids'!$C$36*1440,0)/1440,IF(ROUND(MOD($A121,1)*1440,0)&lt;ROUND('Critères et poids'!$C$36*1440,0),INT($A121)+ROUND('Critères et poids'!$C$36*1440,0)/1440,$A121)))</f>
        <v/>
      </c>
      <c r="AI121">
        <f>IF(AH121="","",ROUND(MOD(AH121,1)*1440,0))</f>
        <v/>
      </c>
      <c r="AJ121">
        <f>IF(T121="","",INDEX('Critères et poids'!$E$29:$E$32,MATCH(T121,'Critères et poids'!$A$29:$A$32,0)))</f>
        <v/>
      </c>
    </row>
    <row r="122">
      <c r="A122" s="13" t="n"/>
      <c r="B122" s="6" t="n"/>
      <c r="C122" s="6" t="n"/>
      <c r="D122" s="4" t="n"/>
      <c r="E122" s="4" t="n"/>
      <c r="F122" s="4" t="n"/>
      <c r="G122" s="4" t="n"/>
      <c r="H122" s="4" t="n"/>
      <c r="I122" s="4" t="n"/>
      <c r="J122" s="4" t="n"/>
      <c r="K122" s="4" t="n"/>
      <c r="L122" s="4" t="n"/>
      <c r="M122" s="4" t="n"/>
      <c r="N122" s="6" t="n"/>
      <c r="O122" s="6" t="n"/>
      <c r="P122" s="14">
        <f>IF($B122="","",(E122="Clair")*'Critères et poids'!$G$5+(E122="Partiel")*'Critères et poids'!$G$5/2+(F122="Clair")*'Critères et poids'!$G$6+(F122="Partiel")*'Critères et poids'!$G$6/2+(G122="Clair")*'Critères et poids'!$G$7+(G122="Partiel")*'Critères et poids'!$G$7/2+(H122="Clair")*'Critères et poids'!$G$8+(H122="Partiel")*'Critères et poids'!$G$8/2)</f>
        <v/>
      </c>
      <c r="Q122" s="14">
        <f>IF($B122="","",(I122="Clair")*'Critères et poids'!$G$9+(I122="Partiel")*'Critères et poids'!$G$9/2+(J122="Clair")*'Critères et poids'!$G$10+(J122="Partiel")*'Critères et poids'!$G$10/2+(K122="Clair")*'Critères et poids'!$G$11+(K122="Partiel")*'Critères et poids'!$G$11/2+(L122="Clair")*'Critères et poids'!$G$12+(L122="Partiel")*'Critères et poids'!$G$12/2+(M122="Clair")*'Critères et poids'!$G$13+(M122="Partiel")*'Critères et poids'!$G$13/2)</f>
        <v/>
      </c>
      <c r="R122" s="14">
        <f>IF($B122="","",IFERROR(VLOOKUP(N122,'Critères et poids'!$B$17:$C$20,2,FALSE),0))</f>
        <v/>
      </c>
      <c r="S122" s="9">
        <f>IF($B122="","",MAX(0,P122+Q122+R122))</f>
        <v/>
      </c>
      <c r="T122" s="9">
        <f>IF($B122="","",IF(O122&lt;&gt;"","X",IF(S122&gt;='Critères et poids'!$C$29,"A",IF(S122&gt;='Critères et poids'!$C$30,"B","C"))))</f>
        <v/>
      </c>
      <c r="U122" s="14">
        <f>IF(T122="","",INDEX('Critères et poids'!$D$29:$D$32,MATCH(T122,'Critères et poids'!$A$29:$A$32,0)))</f>
        <v/>
      </c>
      <c r="V122" s="14">
        <f>IF(T122="","",INDEX('Critères et poids'!$F$29:$F$32,MATCH(T122,'Critères et poids'!$A$29:$A$32,0)))</f>
        <v/>
      </c>
      <c r="W122" s="15">
        <f>IF(OR(AH122="",AJ122=""),"",IF(AI122+AJ122*60&lt;=ROUND('Critères et poids'!$C$37*1440,0),INT(AH122)+(AI122+AJ122*60)/1440,WORKDAY(INT(AH122),1+INT((AI122+AJ122*60-ROUND('Critères et poids'!$C$37*1440,0)-1)/(ROUND('Critères et poids'!$C$37*1440,0)-ROUND('Critères et poids'!$C$36*1440,0))))+(ROUND('Critères et poids'!$C$36*1440,0)+AI122+AJ122*60-ROUND('Critères et poids'!$C$37*1440,0)-INT((AI122+AJ122*60-ROUND('Critères et poids'!$C$37*1440,0)-1)/(ROUND('Critères et poids'!$C$37*1440,0)-ROUND('Critères et poids'!$C$36*1440,0)))*(ROUND('Critères et poids'!$C$37*1440,0)-ROUND('Critères et poids'!$C$36*1440,0)))/1440))</f>
        <v/>
      </c>
      <c r="X122" s="16" t="n"/>
      <c r="Y122" s="14">
        <f>IF(W122="","",IF(X122="",IF(NOW()&gt;W122,"En retard","En attente"),IF(X122&lt;=W122,"À temps","En retard")))</f>
        <v/>
      </c>
      <c r="Z122" s="17" t="n"/>
      <c r="AA122" s="14">
        <f>IF($B122="","",IF(OR(T122="X",AD122&lt;&gt;""),0,MAX(0,MIN(Q122,'Critères et poids'!$C$38*INT((TODAY()-IF(Z122&lt;&gt;"",Z122,INT($A122)))/7)))))</f>
        <v/>
      </c>
      <c r="AB122" s="14">
        <f>IF($B122="","",MAX(0,S122-AA122))</f>
        <v/>
      </c>
      <c r="AC122" s="9">
        <f>IF($B122="","",IF(T122="X","X",IF(AB122&gt;='Critères et poids'!$C$29,"A",IF(AB122&gt;='Critères et poids'!$C$30,"B","C"))))</f>
        <v/>
      </c>
      <c r="AD122" s="4" t="n"/>
      <c r="AE122" s="18" t="n"/>
      <c r="AF122" s="6" t="n"/>
      <c r="AH122">
        <f>IF($A122="","",IF(OR(WEEKDAY($A122,2)&gt;5,ROUND(MOD($A122,1)*1440,0)&gt;=ROUND('Critères et poids'!$C$37*1440,0)),WORKDAY(INT($A122),1)+ROUND('Critères et poids'!$C$36*1440,0)/1440,IF(ROUND(MOD($A122,1)*1440,0)&lt;ROUND('Critères et poids'!$C$36*1440,0),INT($A122)+ROUND('Critères et poids'!$C$36*1440,0)/1440,$A122)))</f>
        <v/>
      </c>
      <c r="AI122">
        <f>IF(AH122="","",ROUND(MOD(AH122,1)*1440,0))</f>
        <v/>
      </c>
      <c r="AJ122">
        <f>IF(T122="","",INDEX('Critères et poids'!$E$29:$E$32,MATCH(T122,'Critères et poids'!$A$29:$A$32,0)))</f>
        <v/>
      </c>
    </row>
    <row r="123">
      <c r="A123" s="13" t="n"/>
      <c r="B123" s="6" t="n"/>
      <c r="C123" s="6" t="n"/>
      <c r="D123" s="4" t="n"/>
      <c r="E123" s="4" t="n"/>
      <c r="F123" s="4" t="n"/>
      <c r="G123" s="4" t="n"/>
      <c r="H123" s="4" t="n"/>
      <c r="I123" s="4" t="n"/>
      <c r="J123" s="4" t="n"/>
      <c r="K123" s="4" t="n"/>
      <c r="L123" s="4" t="n"/>
      <c r="M123" s="4" t="n"/>
      <c r="N123" s="6" t="n"/>
      <c r="O123" s="6" t="n"/>
      <c r="P123" s="14">
        <f>IF($B123="","",(E123="Clair")*'Critères et poids'!$G$5+(E123="Partiel")*'Critères et poids'!$G$5/2+(F123="Clair")*'Critères et poids'!$G$6+(F123="Partiel")*'Critères et poids'!$G$6/2+(G123="Clair")*'Critères et poids'!$G$7+(G123="Partiel")*'Critères et poids'!$G$7/2+(H123="Clair")*'Critères et poids'!$G$8+(H123="Partiel")*'Critères et poids'!$G$8/2)</f>
        <v/>
      </c>
      <c r="Q123" s="14">
        <f>IF($B123="","",(I123="Clair")*'Critères et poids'!$G$9+(I123="Partiel")*'Critères et poids'!$G$9/2+(J123="Clair")*'Critères et poids'!$G$10+(J123="Partiel")*'Critères et poids'!$G$10/2+(K123="Clair")*'Critères et poids'!$G$11+(K123="Partiel")*'Critères et poids'!$G$11/2+(L123="Clair")*'Critères et poids'!$G$12+(L123="Partiel")*'Critères et poids'!$G$12/2+(M123="Clair")*'Critères et poids'!$G$13+(M123="Partiel")*'Critères et poids'!$G$13/2)</f>
        <v/>
      </c>
      <c r="R123" s="14">
        <f>IF($B123="","",IFERROR(VLOOKUP(N123,'Critères et poids'!$B$17:$C$20,2,FALSE),0))</f>
        <v/>
      </c>
      <c r="S123" s="9">
        <f>IF($B123="","",MAX(0,P123+Q123+R123))</f>
        <v/>
      </c>
      <c r="T123" s="9">
        <f>IF($B123="","",IF(O123&lt;&gt;"","X",IF(S123&gt;='Critères et poids'!$C$29,"A",IF(S123&gt;='Critères et poids'!$C$30,"B","C"))))</f>
        <v/>
      </c>
      <c r="U123" s="14">
        <f>IF(T123="","",INDEX('Critères et poids'!$D$29:$D$32,MATCH(T123,'Critères et poids'!$A$29:$A$32,0)))</f>
        <v/>
      </c>
      <c r="V123" s="14">
        <f>IF(T123="","",INDEX('Critères et poids'!$F$29:$F$32,MATCH(T123,'Critères et poids'!$A$29:$A$32,0)))</f>
        <v/>
      </c>
      <c r="W123" s="15">
        <f>IF(OR(AH123="",AJ123=""),"",IF(AI123+AJ123*60&lt;=ROUND('Critères et poids'!$C$37*1440,0),INT(AH123)+(AI123+AJ123*60)/1440,WORKDAY(INT(AH123),1+INT((AI123+AJ123*60-ROUND('Critères et poids'!$C$37*1440,0)-1)/(ROUND('Critères et poids'!$C$37*1440,0)-ROUND('Critères et poids'!$C$36*1440,0))))+(ROUND('Critères et poids'!$C$36*1440,0)+AI123+AJ123*60-ROUND('Critères et poids'!$C$37*1440,0)-INT((AI123+AJ123*60-ROUND('Critères et poids'!$C$37*1440,0)-1)/(ROUND('Critères et poids'!$C$37*1440,0)-ROUND('Critères et poids'!$C$36*1440,0)))*(ROUND('Critères et poids'!$C$37*1440,0)-ROUND('Critères et poids'!$C$36*1440,0)))/1440))</f>
        <v/>
      </c>
      <c r="X123" s="16" t="n"/>
      <c r="Y123" s="14">
        <f>IF(W123="","",IF(X123="",IF(NOW()&gt;W123,"En retard","En attente"),IF(X123&lt;=W123,"À temps","En retard")))</f>
        <v/>
      </c>
      <c r="Z123" s="17" t="n"/>
      <c r="AA123" s="14">
        <f>IF($B123="","",IF(OR(T123="X",AD123&lt;&gt;""),0,MAX(0,MIN(Q123,'Critères et poids'!$C$38*INT((TODAY()-IF(Z123&lt;&gt;"",Z123,INT($A123)))/7)))))</f>
        <v/>
      </c>
      <c r="AB123" s="14">
        <f>IF($B123="","",MAX(0,S123-AA123))</f>
        <v/>
      </c>
      <c r="AC123" s="9">
        <f>IF($B123="","",IF(T123="X","X",IF(AB123&gt;='Critères et poids'!$C$29,"A",IF(AB123&gt;='Critères et poids'!$C$30,"B","C"))))</f>
        <v/>
      </c>
      <c r="AD123" s="4" t="n"/>
      <c r="AE123" s="18" t="n"/>
      <c r="AF123" s="6" t="n"/>
      <c r="AH123">
        <f>IF($A123="","",IF(OR(WEEKDAY($A123,2)&gt;5,ROUND(MOD($A123,1)*1440,0)&gt;=ROUND('Critères et poids'!$C$37*1440,0)),WORKDAY(INT($A123),1)+ROUND('Critères et poids'!$C$36*1440,0)/1440,IF(ROUND(MOD($A123,1)*1440,0)&lt;ROUND('Critères et poids'!$C$36*1440,0),INT($A123)+ROUND('Critères et poids'!$C$36*1440,0)/1440,$A123)))</f>
        <v/>
      </c>
      <c r="AI123">
        <f>IF(AH123="","",ROUND(MOD(AH123,1)*1440,0))</f>
        <v/>
      </c>
      <c r="AJ123">
        <f>IF(T123="","",INDEX('Critères et poids'!$E$29:$E$32,MATCH(T123,'Critères et poids'!$A$29:$A$32,0)))</f>
        <v/>
      </c>
    </row>
    <row r="124">
      <c r="A124" s="13" t="n"/>
      <c r="B124" s="6" t="n"/>
      <c r="C124" s="6" t="n"/>
      <c r="D124" s="4" t="n"/>
      <c r="E124" s="4" t="n"/>
      <c r="F124" s="4" t="n"/>
      <c r="G124" s="4" t="n"/>
      <c r="H124" s="4" t="n"/>
      <c r="I124" s="4" t="n"/>
      <c r="J124" s="4" t="n"/>
      <c r="K124" s="4" t="n"/>
      <c r="L124" s="4" t="n"/>
      <c r="M124" s="4" t="n"/>
      <c r="N124" s="6" t="n"/>
      <c r="O124" s="6" t="n"/>
      <c r="P124" s="14">
        <f>IF($B124="","",(E124="Clair")*'Critères et poids'!$G$5+(E124="Partiel")*'Critères et poids'!$G$5/2+(F124="Clair")*'Critères et poids'!$G$6+(F124="Partiel")*'Critères et poids'!$G$6/2+(G124="Clair")*'Critères et poids'!$G$7+(G124="Partiel")*'Critères et poids'!$G$7/2+(H124="Clair")*'Critères et poids'!$G$8+(H124="Partiel")*'Critères et poids'!$G$8/2)</f>
        <v/>
      </c>
      <c r="Q124" s="14">
        <f>IF($B124="","",(I124="Clair")*'Critères et poids'!$G$9+(I124="Partiel")*'Critères et poids'!$G$9/2+(J124="Clair")*'Critères et poids'!$G$10+(J124="Partiel")*'Critères et poids'!$G$10/2+(K124="Clair")*'Critères et poids'!$G$11+(K124="Partiel")*'Critères et poids'!$G$11/2+(L124="Clair")*'Critères et poids'!$G$12+(L124="Partiel")*'Critères et poids'!$G$12/2+(M124="Clair")*'Critères et poids'!$G$13+(M124="Partiel")*'Critères et poids'!$G$13/2)</f>
        <v/>
      </c>
      <c r="R124" s="14">
        <f>IF($B124="","",IFERROR(VLOOKUP(N124,'Critères et poids'!$B$17:$C$20,2,FALSE),0))</f>
        <v/>
      </c>
      <c r="S124" s="9">
        <f>IF($B124="","",MAX(0,P124+Q124+R124))</f>
        <v/>
      </c>
      <c r="T124" s="9">
        <f>IF($B124="","",IF(O124&lt;&gt;"","X",IF(S124&gt;='Critères et poids'!$C$29,"A",IF(S124&gt;='Critères et poids'!$C$30,"B","C"))))</f>
        <v/>
      </c>
      <c r="U124" s="14">
        <f>IF(T124="","",INDEX('Critères et poids'!$D$29:$D$32,MATCH(T124,'Critères et poids'!$A$29:$A$32,0)))</f>
        <v/>
      </c>
      <c r="V124" s="14">
        <f>IF(T124="","",INDEX('Critères et poids'!$F$29:$F$32,MATCH(T124,'Critères et poids'!$A$29:$A$32,0)))</f>
        <v/>
      </c>
      <c r="W124" s="15">
        <f>IF(OR(AH124="",AJ124=""),"",IF(AI124+AJ124*60&lt;=ROUND('Critères et poids'!$C$37*1440,0),INT(AH124)+(AI124+AJ124*60)/1440,WORKDAY(INT(AH124),1+INT((AI124+AJ124*60-ROUND('Critères et poids'!$C$37*1440,0)-1)/(ROUND('Critères et poids'!$C$37*1440,0)-ROUND('Critères et poids'!$C$36*1440,0))))+(ROUND('Critères et poids'!$C$36*1440,0)+AI124+AJ124*60-ROUND('Critères et poids'!$C$37*1440,0)-INT((AI124+AJ124*60-ROUND('Critères et poids'!$C$37*1440,0)-1)/(ROUND('Critères et poids'!$C$37*1440,0)-ROUND('Critères et poids'!$C$36*1440,0)))*(ROUND('Critères et poids'!$C$37*1440,0)-ROUND('Critères et poids'!$C$36*1440,0)))/1440))</f>
        <v/>
      </c>
      <c r="X124" s="16" t="n"/>
      <c r="Y124" s="14">
        <f>IF(W124="","",IF(X124="",IF(NOW()&gt;W124,"En retard","En attente"),IF(X124&lt;=W124,"À temps","En retard")))</f>
        <v/>
      </c>
      <c r="Z124" s="17" t="n"/>
      <c r="AA124" s="14">
        <f>IF($B124="","",IF(OR(T124="X",AD124&lt;&gt;""),0,MAX(0,MIN(Q124,'Critères et poids'!$C$38*INT((TODAY()-IF(Z124&lt;&gt;"",Z124,INT($A124)))/7)))))</f>
        <v/>
      </c>
      <c r="AB124" s="14">
        <f>IF($B124="","",MAX(0,S124-AA124))</f>
        <v/>
      </c>
      <c r="AC124" s="9">
        <f>IF($B124="","",IF(T124="X","X",IF(AB124&gt;='Critères et poids'!$C$29,"A",IF(AB124&gt;='Critères et poids'!$C$30,"B","C"))))</f>
        <v/>
      </c>
      <c r="AD124" s="4" t="n"/>
      <c r="AE124" s="18" t="n"/>
      <c r="AF124" s="6" t="n"/>
      <c r="AH124">
        <f>IF($A124="","",IF(OR(WEEKDAY($A124,2)&gt;5,ROUND(MOD($A124,1)*1440,0)&gt;=ROUND('Critères et poids'!$C$37*1440,0)),WORKDAY(INT($A124),1)+ROUND('Critères et poids'!$C$36*1440,0)/1440,IF(ROUND(MOD($A124,1)*1440,0)&lt;ROUND('Critères et poids'!$C$36*1440,0),INT($A124)+ROUND('Critères et poids'!$C$36*1440,0)/1440,$A124)))</f>
        <v/>
      </c>
      <c r="AI124">
        <f>IF(AH124="","",ROUND(MOD(AH124,1)*1440,0))</f>
        <v/>
      </c>
      <c r="AJ124">
        <f>IF(T124="","",INDEX('Critères et poids'!$E$29:$E$32,MATCH(T124,'Critères et poids'!$A$29:$A$32,0)))</f>
        <v/>
      </c>
    </row>
    <row r="125">
      <c r="A125" s="13" t="n"/>
      <c r="B125" s="6" t="n"/>
      <c r="C125" s="6" t="n"/>
      <c r="D125" s="4" t="n"/>
      <c r="E125" s="4" t="n"/>
      <c r="F125" s="4" t="n"/>
      <c r="G125" s="4" t="n"/>
      <c r="H125" s="4" t="n"/>
      <c r="I125" s="4" t="n"/>
      <c r="J125" s="4" t="n"/>
      <c r="K125" s="4" t="n"/>
      <c r="L125" s="4" t="n"/>
      <c r="M125" s="4" t="n"/>
      <c r="N125" s="6" t="n"/>
      <c r="O125" s="6" t="n"/>
      <c r="P125" s="14">
        <f>IF($B125="","",(E125="Clair")*'Critères et poids'!$G$5+(E125="Partiel")*'Critères et poids'!$G$5/2+(F125="Clair")*'Critères et poids'!$G$6+(F125="Partiel")*'Critères et poids'!$G$6/2+(G125="Clair")*'Critères et poids'!$G$7+(G125="Partiel")*'Critères et poids'!$G$7/2+(H125="Clair")*'Critères et poids'!$G$8+(H125="Partiel")*'Critères et poids'!$G$8/2)</f>
        <v/>
      </c>
      <c r="Q125" s="14">
        <f>IF($B125="","",(I125="Clair")*'Critères et poids'!$G$9+(I125="Partiel")*'Critères et poids'!$G$9/2+(J125="Clair")*'Critères et poids'!$G$10+(J125="Partiel")*'Critères et poids'!$G$10/2+(K125="Clair")*'Critères et poids'!$G$11+(K125="Partiel")*'Critères et poids'!$G$11/2+(L125="Clair")*'Critères et poids'!$G$12+(L125="Partiel")*'Critères et poids'!$G$12/2+(M125="Clair")*'Critères et poids'!$G$13+(M125="Partiel")*'Critères et poids'!$G$13/2)</f>
        <v/>
      </c>
      <c r="R125" s="14">
        <f>IF($B125="","",IFERROR(VLOOKUP(N125,'Critères et poids'!$B$17:$C$20,2,FALSE),0))</f>
        <v/>
      </c>
      <c r="S125" s="9">
        <f>IF($B125="","",MAX(0,P125+Q125+R125))</f>
        <v/>
      </c>
      <c r="T125" s="9">
        <f>IF($B125="","",IF(O125&lt;&gt;"","X",IF(S125&gt;='Critères et poids'!$C$29,"A",IF(S125&gt;='Critères et poids'!$C$30,"B","C"))))</f>
        <v/>
      </c>
      <c r="U125" s="14">
        <f>IF(T125="","",INDEX('Critères et poids'!$D$29:$D$32,MATCH(T125,'Critères et poids'!$A$29:$A$32,0)))</f>
        <v/>
      </c>
      <c r="V125" s="14">
        <f>IF(T125="","",INDEX('Critères et poids'!$F$29:$F$32,MATCH(T125,'Critères et poids'!$A$29:$A$32,0)))</f>
        <v/>
      </c>
      <c r="W125" s="15">
        <f>IF(OR(AH125="",AJ125=""),"",IF(AI125+AJ125*60&lt;=ROUND('Critères et poids'!$C$37*1440,0),INT(AH125)+(AI125+AJ125*60)/1440,WORKDAY(INT(AH125),1+INT((AI125+AJ125*60-ROUND('Critères et poids'!$C$37*1440,0)-1)/(ROUND('Critères et poids'!$C$37*1440,0)-ROUND('Critères et poids'!$C$36*1440,0))))+(ROUND('Critères et poids'!$C$36*1440,0)+AI125+AJ125*60-ROUND('Critères et poids'!$C$37*1440,0)-INT((AI125+AJ125*60-ROUND('Critères et poids'!$C$37*1440,0)-1)/(ROUND('Critères et poids'!$C$37*1440,0)-ROUND('Critères et poids'!$C$36*1440,0)))*(ROUND('Critères et poids'!$C$37*1440,0)-ROUND('Critères et poids'!$C$36*1440,0)))/1440))</f>
        <v/>
      </c>
      <c r="X125" s="16" t="n"/>
      <c r="Y125" s="14">
        <f>IF(W125="","",IF(X125="",IF(NOW()&gt;W125,"En retard","En attente"),IF(X125&lt;=W125,"À temps","En retard")))</f>
        <v/>
      </c>
      <c r="Z125" s="17" t="n"/>
      <c r="AA125" s="14">
        <f>IF($B125="","",IF(OR(T125="X",AD125&lt;&gt;""),0,MAX(0,MIN(Q125,'Critères et poids'!$C$38*INT((TODAY()-IF(Z125&lt;&gt;"",Z125,INT($A125)))/7)))))</f>
        <v/>
      </c>
      <c r="AB125" s="14">
        <f>IF($B125="","",MAX(0,S125-AA125))</f>
        <v/>
      </c>
      <c r="AC125" s="9">
        <f>IF($B125="","",IF(T125="X","X",IF(AB125&gt;='Critères et poids'!$C$29,"A",IF(AB125&gt;='Critères et poids'!$C$30,"B","C"))))</f>
        <v/>
      </c>
      <c r="AD125" s="4" t="n"/>
      <c r="AE125" s="18" t="n"/>
      <c r="AF125" s="6" t="n"/>
      <c r="AH125">
        <f>IF($A125="","",IF(OR(WEEKDAY($A125,2)&gt;5,ROUND(MOD($A125,1)*1440,0)&gt;=ROUND('Critères et poids'!$C$37*1440,0)),WORKDAY(INT($A125),1)+ROUND('Critères et poids'!$C$36*1440,0)/1440,IF(ROUND(MOD($A125,1)*1440,0)&lt;ROUND('Critères et poids'!$C$36*1440,0),INT($A125)+ROUND('Critères et poids'!$C$36*1440,0)/1440,$A125)))</f>
        <v/>
      </c>
      <c r="AI125">
        <f>IF(AH125="","",ROUND(MOD(AH125,1)*1440,0))</f>
        <v/>
      </c>
      <c r="AJ125">
        <f>IF(T125="","",INDEX('Critères et poids'!$E$29:$E$32,MATCH(T125,'Critères et poids'!$A$29:$A$32,0)))</f>
        <v/>
      </c>
    </row>
    <row r="126">
      <c r="A126" s="13" t="n"/>
      <c r="B126" s="6" t="n"/>
      <c r="C126" s="6" t="n"/>
      <c r="D126" s="4" t="n"/>
      <c r="E126" s="4" t="n"/>
      <c r="F126" s="4" t="n"/>
      <c r="G126" s="4" t="n"/>
      <c r="H126" s="4" t="n"/>
      <c r="I126" s="4" t="n"/>
      <c r="J126" s="4" t="n"/>
      <c r="K126" s="4" t="n"/>
      <c r="L126" s="4" t="n"/>
      <c r="M126" s="4" t="n"/>
      <c r="N126" s="6" t="n"/>
      <c r="O126" s="6" t="n"/>
      <c r="P126" s="14">
        <f>IF($B126="","",(E126="Clair")*'Critères et poids'!$G$5+(E126="Partiel")*'Critères et poids'!$G$5/2+(F126="Clair")*'Critères et poids'!$G$6+(F126="Partiel")*'Critères et poids'!$G$6/2+(G126="Clair")*'Critères et poids'!$G$7+(G126="Partiel")*'Critères et poids'!$G$7/2+(H126="Clair")*'Critères et poids'!$G$8+(H126="Partiel")*'Critères et poids'!$G$8/2)</f>
        <v/>
      </c>
      <c r="Q126" s="14">
        <f>IF($B126="","",(I126="Clair")*'Critères et poids'!$G$9+(I126="Partiel")*'Critères et poids'!$G$9/2+(J126="Clair")*'Critères et poids'!$G$10+(J126="Partiel")*'Critères et poids'!$G$10/2+(K126="Clair")*'Critères et poids'!$G$11+(K126="Partiel")*'Critères et poids'!$G$11/2+(L126="Clair")*'Critères et poids'!$G$12+(L126="Partiel")*'Critères et poids'!$G$12/2+(M126="Clair")*'Critères et poids'!$G$13+(M126="Partiel")*'Critères et poids'!$G$13/2)</f>
        <v/>
      </c>
      <c r="R126" s="14">
        <f>IF($B126="","",IFERROR(VLOOKUP(N126,'Critères et poids'!$B$17:$C$20,2,FALSE),0))</f>
        <v/>
      </c>
      <c r="S126" s="9">
        <f>IF($B126="","",MAX(0,P126+Q126+R126))</f>
        <v/>
      </c>
      <c r="T126" s="9">
        <f>IF($B126="","",IF(O126&lt;&gt;"","X",IF(S126&gt;='Critères et poids'!$C$29,"A",IF(S126&gt;='Critères et poids'!$C$30,"B","C"))))</f>
        <v/>
      </c>
      <c r="U126" s="14">
        <f>IF(T126="","",INDEX('Critères et poids'!$D$29:$D$32,MATCH(T126,'Critères et poids'!$A$29:$A$32,0)))</f>
        <v/>
      </c>
      <c r="V126" s="14">
        <f>IF(T126="","",INDEX('Critères et poids'!$F$29:$F$32,MATCH(T126,'Critères et poids'!$A$29:$A$32,0)))</f>
        <v/>
      </c>
      <c r="W126" s="15">
        <f>IF(OR(AH126="",AJ126=""),"",IF(AI126+AJ126*60&lt;=ROUND('Critères et poids'!$C$37*1440,0),INT(AH126)+(AI126+AJ126*60)/1440,WORKDAY(INT(AH126),1+INT((AI126+AJ126*60-ROUND('Critères et poids'!$C$37*1440,0)-1)/(ROUND('Critères et poids'!$C$37*1440,0)-ROUND('Critères et poids'!$C$36*1440,0))))+(ROUND('Critères et poids'!$C$36*1440,0)+AI126+AJ126*60-ROUND('Critères et poids'!$C$37*1440,0)-INT((AI126+AJ126*60-ROUND('Critères et poids'!$C$37*1440,0)-1)/(ROUND('Critères et poids'!$C$37*1440,0)-ROUND('Critères et poids'!$C$36*1440,0)))*(ROUND('Critères et poids'!$C$37*1440,0)-ROUND('Critères et poids'!$C$36*1440,0)))/1440))</f>
        <v/>
      </c>
      <c r="X126" s="16" t="n"/>
      <c r="Y126" s="14">
        <f>IF(W126="","",IF(X126="",IF(NOW()&gt;W126,"En retard","En attente"),IF(X126&lt;=W126,"À temps","En retard")))</f>
        <v/>
      </c>
      <c r="Z126" s="17" t="n"/>
      <c r="AA126" s="14">
        <f>IF($B126="","",IF(OR(T126="X",AD126&lt;&gt;""),0,MAX(0,MIN(Q126,'Critères et poids'!$C$38*INT((TODAY()-IF(Z126&lt;&gt;"",Z126,INT($A126)))/7)))))</f>
        <v/>
      </c>
      <c r="AB126" s="14">
        <f>IF($B126="","",MAX(0,S126-AA126))</f>
        <v/>
      </c>
      <c r="AC126" s="9">
        <f>IF($B126="","",IF(T126="X","X",IF(AB126&gt;='Critères et poids'!$C$29,"A",IF(AB126&gt;='Critères et poids'!$C$30,"B","C"))))</f>
        <v/>
      </c>
      <c r="AD126" s="4" t="n"/>
      <c r="AE126" s="18" t="n"/>
      <c r="AF126" s="6" t="n"/>
      <c r="AH126">
        <f>IF($A126="","",IF(OR(WEEKDAY($A126,2)&gt;5,ROUND(MOD($A126,1)*1440,0)&gt;=ROUND('Critères et poids'!$C$37*1440,0)),WORKDAY(INT($A126),1)+ROUND('Critères et poids'!$C$36*1440,0)/1440,IF(ROUND(MOD($A126,1)*1440,0)&lt;ROUND('Critères et poids'!$C$36*1440,0),INT($A126)+ROUND('Critères et poids'!$C$36*1440,0)/1440,$A126)))</f>
        <v/>
      </c>
      <c r="AI126">
        <f>IF(AH126="","",ROUND(MOD(AH126,1)*1440,0))</f>
        <v/>
      </c>
      <c r="AJ126">
        <f>IF(T126="","",INDEX('Critères et poids'!$E$29:$E$32,MATCH(T126,'Critères et poids'!$A$29:$A$32,0)))</f>
        <v/>
      </c>
    </row>
    <row r="127">
      <c r="A127" s="13" t="n"/>
      <c r="B127" s="6" t="n"/>
      <c r="C127" s="6" t="n"/>
      <c r="D127" s="4" t="n"/>
      <c r="E127" s="4" t="n"/>
      <c r="F127" s="4" t="n"/>
      <c r="G127" s="4" t="n"/>
      <c r="H127" s="4" t="n"/>
      <c r="I127" s="4" t="n"/>
      <c r="J127" s="4" t="n"/>
      <c r="K127" s="4" t="n"/>
      <c r="L127" s="4" t="n"/>
      <c r="M127" s="4" t="n"/>
      <c r="N127" s="6" t="n"/>
      <c r="O127" s="6" t="n"/>
      <c r="P127" s="14">
        <f>IF($B127="","",(E127="Clair")*'Critères et poids'!$G$5+(E127="Partiel")*'Critères et poids'!$G$5/2+(F127="Clair")*'Critères et poids'!$G$6+(F127="Partiel")*'Critères et poids'!$G$6/2+(G127="Clair")*'Critères et poids'!$G$7+(G127="Partiel")*'Critères et poids'!$G$7/2+(H127="Clair")*'Critères et poids'!$G$8+(H127="Partiel")*'Critères et poids'!$G$8/2)</f>
        <v/>
      </c>
      <c r="Q127" s="14">
        <f>IF($B127="","",(I127="Clair")*'Critères et poids'!$G$9+(I127="Partiel")*'Critères et poids'!$G$9/2+(J127="Clair")*'Critères et poids'!$G$10+(J127="Partiel")*'Critères et poids'!$G$10/2+(K127="Clair")*'Critères et poids'!$G$11+(K127="Partiel")*'Critères et poids'!$G$11/2+(L127="Clair")*'Critères et poids'!$G$12+(L127="Partiel")*'Critères et poids'!$G$12/2+(M127="Clair")*'Critères et poids'!$G$13+(M127="Partiel")*'Critères et poids'!$G$13/2)</f>
        <v/>
      </c>
      <c r="R127" s="14">
        <f>IF($B127="","",IFERROR(VLOOKUP(N127,'Critères et poids'!$B$17:$C$20,2,FALSE),0))</f>
        <v/>
      </c>
      <c r="S127" s="9">
        <f>IF($B127="","",MAX(0,P127+Q127+R127))</f>
        <v/>
      </c>
      <c r="T127" s="9">
        <f>IF($B127="","",IF(O127&lt;&gt;"","X",IF(S127&gt;='Critères et poids'!$C$29,"A",IF(S127&gt;='Critères et poids'!$C$30,"B","C"))))</f>
        <v/>
      </c>
      <c r="U127" s="14">
        <f>IF(T127="","",INDEX('Critères et poids'!$D$29:$D$32,MATCH(T127,'Critères et poids'!$A$29:$A$32,0)))</f>
        <v/>
      </c>
      <c r="V127" s="14">
        <f>IF(T127="","",INDEX('Critères et poids'!$F$29:$F$32,MATCH(T127,'Critères et poids'!$A$29:$A$32,0)))</f>
        <v/>
      </c>
      <c r="W127" s="15">
        <f>IF(OR(AH127="",AJ127=""),"",IF(AI127+AJ127*60&lt;=ROUND('Critères et poids'!$C$37*1440,0),INT(AH127)+(AI127+AJ127*60)/1440,WORKDAY(INT(AH127),1+INT((AI127+AJ127*60-ROUND('Critères et poids'!$C$37*1440,0)-1)/(ROUND('Critères et poids'!$C$37*1440,0)-ROUND('Critères et poids'!$C$36*1440,0))))+(ROUND('Critères et poids'!$C$36*1440,0)+AI127+AJ127*60-ROUND('Critères et poids'!$C$37*1440,0)-INT((AI127+AJ127*60-ROUND('Critères et poids'!$C$37*1440,0)-1)/(ROUND('Critères et poids'!$C$37*1440,0)-ROUND('Critères et poids'!$C$36*1440,0)))*(ROUND('Critères et poids'!$C$37*1440,0)-ROUND('Critères et poids'!$C$36*1440,0)))/1440))</f>
        <v/>
      </c>
      <c r="X127" s="16" t="n"/>
      <c r="Y127" s="14">
        <f>IF(W127="","",IF(X127="",IF(NOW()&gt;W127,"En retard","En attente"),IF(X127&lt;=W127,"À temps","En retard")))</f>
        <v/>
      </c>
      <c r="Z127" s="17" t="n"/>
      <c r="AA127" s="14">
        <f>IF($B127="","",IF(OR(T127="X",AD127&lt;&gt;""),0,MAX(0,MIN(Q127,'Critères et poids'!$C$38*INT((TODAY()-IF(Z127&lt;&gt;"",Z127,INT($A127)))/7)))))</f>
        <v/>
      </c>
      <c r="AB127" s="14">
        <f>IF($B127="","",MAX(0,S127-AA127))</f>
        <v/>
      </c>
      <c r="AC127" s="9">
        <f>IF($B127="","",IF(T127="X","X",IF(AB127&gt;='Critères et poids'!$C$29,"A",IF(AB127&gt;='Critères et poids'!$C$30,"B","C"))))</f>
        <v/>
      </c>
      <c r="AD127" s="4" t="n"/>
      <c r="AE127" s="18" t="n"/>
      <c r="AF127" s="6" t="n"/>
      <c r="AH127">
        <f>IF($A127="","",IF(OR(WEEKDAY($A127,2)&gt;5,ROUND(MOD($A127,1)*1440,0)&gt;=ROUND('Critères et poids'!$C$37*1440,0)),WORKDAY(INT($A127),1)+ROUND('Critères et poids'!$C$36*1440,0)/1440,IF(ROUND(MOD($A127,1)*1440,0)&lt;ROUND('Critères et poids'!$C$36*1440,0),INT($A127)+ROUND('Critères et poids'!$C$36*1440,0)/1440,$A127)))</f>
        <v/>
      </c>
      <c r="AI127">
        <f>IF(AH127="","",ROUND(MOD(AH127,1)*1440,0))</f>
        <v/>
      </c>
      <c r="AJ127">
        <f>IF(T127="","",INDEX('Critères et poids'!$E$29:$E$32,MATCH(T127,'Critères et poids'!$A$29:$A$32,0)))</f>
        <v/>
      </c>
    </row>
    <row r="128">
      <c r="A128" s="13" t="n"/>
      <c r="B128" s="6" t="n"/>
      <c r="C128" s="6" t="n"/>
      <c r="D128" s="4" t="n"/>
      <c r="E128" s="4" t="n"/>
      <c r="F128" s="4" t="n"/>
      <c r="G128" s="4" t="n"/>
      <c r="H128" s="4" t="n"/>
      <c r="I128" s="4" t="n"/>
      <c r="J128" s="4" t="n"/>
      <c r="K128" s="4" t="n"/>
      <c r="L128" s="4" t="n"/>
      <c r="M128" s="4" t="n"/>
      <c r="N128" s="6" t="n"/>
      <c r="O128" s="6" t="n"/>
      <c r="P128" s="14">
        <f>IF($B128="","",(E128="Clair")*'Critères et poids'!$G$5+(E128="Partiel")*'Critères et poids'!$G$5/2+(F128="Clair")*'Critères et poids'!$G$6+(F128="Partiel")*'Critères et poids'!$G$6/2+(G128="Clair")*'Critères et poids'!$G$7+(G128="Partiel")*'Critères et poids'!$G$7/2+(H128="Clair")*'Critères et poids'!$G$8+(H128="Partiel")*'Critères et poids'!$G$8/2)</f>
        <v/>
      </c>
      <c r="Q128" s="14">
        <f>IF($B128="","",(I128="Clair")*'Critères et poids'!$G$9+(I128="Partiel")*'Critères et poids'!$G$9/2+(J128="Clair")*'Critères et poids'!$G$10+(J128="Partiel")*'Critères et poids'!$G$10/2+(K128="Clair")*'Critères et poids'!$G$11+(K128="Partiel")*'Critères et poids'!$G$11/2+(L128="Clair")*'Critères et poids'!$G$12+(L128="Partiel")*'Critères et poids'!$G$12/2+(M128="Clair")*'Critères et poids'!$G$13+(M128="Partiel")*'Critères et poids'!$G$13/2)</f>
        <v/>
      </c>
      <c r="R128" s="14">
        <f>IF($B128="","",IFERROR(VLOOKUP(N128,'Critères et poids'!$B$17:$C$20,2,FALSE),0))</f>
        <v/>
      </c>
      <c r="S128" s="9">
        <f>IF($B128="","",MAX(0,P128+Q128+R128))</f>
        <v/>
      </c>
      <c r="T128" s="9">
        <f>IF($B128="","",IF(O128&lt;&gt;"","X",IF(S128&gt;='Critères et poids'!$C$29,"A",IF(S128&gt;='Critères et poids'!$C$30,"B","C"))))</f>
        <v/>
      </c>
      <c r="U128" s="14">
        <f>IF(T128="","",INDEX('Critères et poids'!$D$29:$D$32,MATCH(T128,'Critères et poids'!$A$29:$A$32,0)))</f>
        <v/>
      </c>
      <c r="V128" s="14">
        <f>IF(T128="","",INDEX('Critères et poids'!$F$29:$F$32,MATCH(T128,'Critères et poids'!$A$29:$A$32,0)))</f>
        <v/>
      </c>
      <c r="W128" s="15">
        <f>IF(OR(AH128="",AJ128=""),"",IF(AI128+AJ128*60&lt;=ROUND('Critères et poids'!$C$37*1440,0),INT(AH128)+(AI128+AJ128*60)/1440,WORKDAY(INT(AH128),1+INT((AI128+AJ128*60-ROUND('Critères et poids'!$C$37*1440,0)-1)/(ROUND('Critères et poids'!$C$37*1440,0)-ROUND('Critères et poids'!$C$36*1440,0))))+(ROUND('Critères et poids'!$C$36*1440,0)+AI128+AJ128*60-ROUND('Critères et poids'!$C$37*1440,0)-INT((AI128+AJ128*60-ROUND('Critères et poids'!$C$37*1440,0)-1)/(ROUND('Critères et poids'!$C$37*1440,0)-ROUND('Critères et poids'!$C$36*1440,0)))*(ROUND('Critères et poids'!$C$37*1440,0)-ROUND('Critères et poids'!$C$36*1440,0)))/1440))</f>
        <v/>
      </c>
      <c r="X128" s="16" t="n"/>
      <c r="Y128" s="14">
        <f>IF(W128="","",IF(X128="",IF(NOW()&gt;W128,"En retard","En attente"),IF(X128&lt;=W128,"À temps","En retard")))</f>
        <v/>
      </c>
      <c r="Z128" s="17" t="n"/>
      <c r="AA128" s="14">
        <f>IF($B128="","",IF(OR(T128="X",AD128&lt;&gt;""),0,MAX(0,MIN(Q128,'Critères et poids'!$C$38*INT((TODAY()-IF(Z128&lt;&gt;"",Z128,INT($A128)))/7)))))</f>
        <v/>
      </c>
      <c r="AB128" s="14">
        <f>IF($B128="","",MAX(0,S128-AA128))</f>
        <v/>
      </c>
      <c r="AC128" s="9">
        <f>IF($B128="","",IF(T128="X","X",IF(AB128&gt;='Critères et poids'!$C$29,"A",IF(AB128&gt;='Critères et poids'!$C$30,"B","C"))))</f>
        <v/>
      </c>
      <c r="AD128" s="4" t="n"/>
      <c r="AE128" s="18" t="n"/>
      <c r="AF128" s="6" t="n"/>
      <c r="AH128">
        <f>IF($A128="","",IF(OR(WEEKDAY($A128,2)&gt;5,ROUND(MOD($A128,1)*1440,0)&gt;=ROUND('Critères et poids'!$C$37*1440,0)),WORKDAY(INT($A128),1)+ROUND('Critères et poids'!$C$36*1440,0)/1440,IF(ROUND(MOD($A128,1)*1440,0)&lt;ROUND('Critères et poids'!$C$36*1440,0),INT($A128)+ROUND('Critères et poids'!$C$36*1440,0)/1440,$A128)))</f>
        <v/>
      </c>
      <c r="AI128">
        <f>IF(AH128="","",ROUND(MOD(AH128,1)*1440,0))</f>
        <v/>
      </c>
      <c r="AJ128">
        <f>IF(T128="","",INDEX('Critères et poids'!$E$29:$E$32,MATCH(T128,'Critères et poids'!$A$29:$A$32,0)))</f>
        <v/>
      </c>
    </row>
    <row r="129">
      <c r="A129" s="13" t="n"/>
      <c r="B129" s="6" t="n"/>
      <c r="C129" s="6" t="n"/>
      <c r="D129" s="4" t="n"/>
      <c r="E129" s="4" t="n"/>
      <c r="F129" s="4" t="n"/>
      <c r="G129" s="4" t="n"/>
      <c r="H129" s="4" t="n"/>
      <c r="I129" s="4" t="n"/>
      <c r="J129" s="4" t="n"/>
      <c r="K129" s="4" t="n"/>
      <c r="L129" s="4" t="n"/>
      <c r="M129" s="4" t="n"/>
      <c r="N129" s="6" t="n"/>
      <c r="O129" s="6" t="n"/>
      <c r="P129" s="14">
        <f>IF($B129="","",(E129="Clair")*'Critères et poids'!$G$5+(E129="Partiel")*'Critères et poids'!$G$5/2+(F129="Clair")*'Critères et poids'!$G$6+(F129="Partiel")*'Critères et poids'!$G$6/2+(G129="Clair")*'Critères et poids'!$G$7+(G129="Partiel")*'Critères et poids'!$G$7/2+(H129="Clair")*'Critères et poids'!$G$8+(H129="Partiel")*'Critères et poids'!$G$8/2)</f>
        <v/>
      </c>
      <c r="Q129" s="14">
        <f>IF($B129="","",(I129="Clair")*'Critères et poids'!$G$9+(I129="Partiel")*'Critères et poids'!$G$9/2+(J129="Clair")*'Critères et poids'!$G$10+(J129="Partiel")*'Critères et poids'!$G$10/2+(K129="Clair")*'Critères et poids'!$G$11+(K129="Partiel")*'Critères et poids'!$G$11/2+(L129="Clair")*'Critères et poids'!$G$12+(L129="Partiel")*'Critères et poids'!$G$12/2+(M129="Clair")*'Critères et poids'!$G$13+(M129="Partiel")*'Critères et poids'!$G$13/2)</f>
        <v/>
      </c>
      <c r="R129" s="14">
        <f>IF($B129="","",IFERROR(VLOOKUP(N129,'Critères et poids'!$B$17:$C$20,2,FALSE),0))</f>
        <v/>
      </c>
      <c r="S129" s="9">
        <f>IF($B129="","",MAX(0,P129+Q129+R129))</f>
        <v/>
      </c>
      <c r="T129" s="9">
        <f>IF($B129="","",IF(O129&lt;&gt;"","X",IF(S129&gt;='Critères et poids'!$C$29,"A",IF(S129&gt;='Critères et poids'!$C$30,"B","C"))))</f>
        <v/>
      </c>
      <c r="U129" s="14">
        <f>IF(T129="","",INDEX('Critères et poids'!$D$29:$D$32,MATCH(T129,'Critères et poids'!$A$29:$A$32,0)))</f>
        <v/>
      </c>
      <c r="V129" s="14">
        <f>IF(T129="","",INDEX('Critères et poids'!$F$29:$F$32,MATCH(T129,'Critères et poids'!$A$29:$A$32,0)))</f>
        <v/>
      </c>
      <c r="W129" s="15">
        <f>IF(OR(AH129="",AJ129=""),"",IF(AI129+AJ129*60&lt;=ROUND('Critères et poids'!$C$37*1440,0),INT(AH129)+(AI129+AJ129*60)/1440,WORKDAY(INT(AH129),1+INT((AI129+AJ129*60-ROUND('Critères et poids'!$C$37*1440,0)-1)/(ROUND('Critères et poids'!$C$37*1440,0)-ROUND('Critères et poids'!$C$36*1440,0))))+(ROUND('Critères et poids'!$C$36*1440,0)+AI129+AJ129*60-ROUND('Critères et poids'!$C$37*1440,0)-INT((AI129+AJ129*60-ROUND('Critères et poids'!$C$37*1440,0)-1)/(ROUND('Critères et poids'!$C$37*1440,0)-ROUND('Critères et poids'!$C$36*1440,0)))*(ROUND('Critères et poids'!$C$37*1440,0)-ROUND('Critères et poids'!$C$36*1440,0)))/1440))</f>
        <v/>
      </c>
      <c r="X129" s="16" t="n"/>
      <c r="Y129" s="14">
        <f>IF(W129="","",IF(X129="",IF(NOW()&gt;W129,"En retard","En attente"),IF(X129&lt;=W129,"À temps","En retard")))</f>
        <v/>
      </c>
      <c r="Z129" s="17" t="n"/>
      <c r="AA129" s="14">
        <f>IF($B129="","",IF(OR(T129="X",AD129&lt;&gt;""),0,MAX(0,MIN(Q129,'Critères et poids'!$C$38*INT((TODAY()-IF(Z129&lt;&gt;"",Z129,INT($A129)))/7)))))</f>
        <v/>
      </c>
      <c r="AB129" s="14">
        <f>IF($B129="","",MAX(0,S129-AA129))</f>
        <v/>
      </c>
      <c r="AC129" s="9">
        <f>IF($B129="","",IF(T129="X","X",IF(AB129&gt;='Critères et poids'!$C$29,"A",IF(AB129&gt;='Critères et poids'!$C$30,"B","C"))))</f>
        <v/>
      </c>
      <c r="AD129" s="4" t="n"/>
      <c r="AE129" s="18" t="n"/>
      <c r="AF129" s="6" t="n"/>
      <c r="AH129">
        <f>IF($A129="","",IF(OR(WEEKDAY($A129,2)&gt;5,ROUND(MOD($A129,1)*1440,0)&gt;=ROUND('Critères et poids'!$C$37*1440,0)),WORKDAY(INT($A129),1)+ROUND('Critères et poids'!$C$36*1440,0)/1440,IF(ROUND(MOD($A129,1)*1440,0)&lt;ROUND('Critères et poids'!$C$36*1440,0),INT($A129)+ROUND('Critères et poids'!$C$36*1440,0)/1440,$A129)))</f>
        <v/>
      </c>
      <c r="AI129">
        <f>IF(AH129="","",ROUND(MOD(AH129,1)*1440,0))</f>
        <v/>
      </c>
      <c r="AJ129">
        <f>IF(T129="","",INDEX('Critères et poids'!$E$29:$E$32,MATCH(T129,'Critères et poids'!$A$29:$A$32,0)))</f>
        <v/>
      </c>
    </row>
    <row r="130">
      <c r="A130" s="13" t="n"/>
      <c r="B130" s="6" t="n"/>
      <c r="C130" s="6" t="n"/>
      <c r="D130" s="4" t="n"/>
      <c r="E130" s="4" t="n"/>
      <c r="F130" s="4" t="n"/>
      <c r="G130" s="4" t="n"/>
      <c r="H130" s="4" t="n"/>
      <c r="I130" s="4" t="n"/>
      <c r="J130" s="4" t="n"/>
      <c r="K130" s="4" t="n"/>
      <c r="L130" s="4" t="n"/>
      <c r="M130" s="4" t="n"/>
      <c r="N130" s="6" t="n"/>
      <c r="O130" s="6" t="n"/>
      <c r="P130" s="14">
        <f>IF($B130="","",(E130="Clair")*'Critères et poids'!$G$5+(E130="Partiel")*'Critères et poids'!$G$5/2+(F130="Clair")*'Critères et poids'!$G$6+(F130="Partiel")*'Critères et poids'!$G$6/2+(G130="Clair")*'Critères et poids'!$G$7+(G130="Partiel")*'Critères et poids'!$G$7/2+(H130="Clair")*'Critères et poids'!$G$8+(H130="Partiel")*'Critères et poids'!$G$8/2)</f>
        <v/>
      </c>
      <c r="Q130" s="14">
        <f>IF($B130="","",(I130="Clair")*'Critères et poids'!$G$9+(I130="Partiel")*'Critères et poids'!$G$9/2+(J130="Clair")*'Critères et poids'!$G$10+(J130="Partiel")*'Critères et poids'!$G$10/2+(K130="Clair")*'Critères et poids'!$G$11+(K130="Partiel")*'Critères et poids'!$G$11/2+(L130="Clair")*'Critères et poids'!$G$12+(L130="Partiel")*'Critères et poids'!$G$12/2+(M130="Clair")*'Critères et poids'!$G$13+(M130="Partiel")*'Critères et poids'!$G$13/2)</f>
        <v/>
      </c>
      <c r="R130" s="14">
        <f>IF($B130="","",IFERROR(VLOOKUP(N130,'Critères et poids'!$B$17:$C$20,2,FALSE),0))</f>
        <v/>
      </c>
      <c r="S130" s="9">
        <f>IF($B130="","",MAX(0,P130+Q130+R130))</f>
        <v/>
      </c>
      <c r="T130" s="9">
        <f>IF($B130="","",IF(O130&lt;&gt;"","X",IF(S130&gt;='Critères et poids'!$C$29,"A",IF(S130&gt;='Critères et poids'!$C$30,"B","C"))))</f>
        <v/>
      </c>
      <c r="U130" s="14">
        <f>IF(T130="","",INDEX('Critères et poids'!$D$29:$D$32,MATCH(T130,'Critères et poids'!$A$29:$A$32,0)))</f>
        <v/>
      </c>
      <c r="V130" s="14">
        <f>IF(T130="","",INDEX('Critères et poids'!$F$29:$F$32,MATCH(T130,'Critères et poids'!$A$29:$A$32,0)))</f>
        <v/>
      </c>
      <c r="W130" s="15">
        <f>IF(OR(AH130="",AJ130=""),"",IF(AI130+AJ130*60&lt;=ROUND('Critères et poids'!$C$37*1440,0),INT(AH130)+(AI130+AJ130*60)/1440,WORKDAY(INT(AH130),1+INT((AI130+AJ130*60-ROUND('Critères et poids'!$C$37*1440,0)-1)/(ROUND('Critères et poids'!$C$37*1440,0)-ROUND('Critères et poids'!$C$36*1440,0))))+(ROUND('Critères et poids'!$C$36*1440,0)+AI130+AJ130*60-ROUND('Critères et poids'!$C$37*1440,0)-INT((AI130+AJ130*60-ROUND('Critères et poids'!$C$37*1440,0)-1)/(ROUND('Critères et poids'!$C$37*1440,0)-ROUND('Critères et poids'!$C$36*1440,0)))*(ROUND('Critères et poids'!$C$37*1440,0)-ROUND('Critères et poids'!$C$36*1440,0)))/1440))</f>
        <v/>
      </c>
      <c r="X130" s="16" t="n"/>
      <c r="Y130" s="14">
        <f>IF(W130="","",IF(X130="",IF(NOW()&gt;W130,"En retard","En attente"),IF(X130&lt;=W130,"À temps","En retard")))</f>
        <v/>
      </c>
      <c r="Z130" s="17" t="n"/>
      <c r="AA130" s="14">
        <f>IF($B130="","",IF(OR(T130="X",AD130&lt;&gt;""),0,MAX(0,MIN(Q130,'Critères et poids'!$C$38*INT((TODAY()-IF(Z130&lt;&gt;"",Z130,INT($A130)))/7)))))</f>
        <v/>
      </c>
      <c r="AB130" s="14">
        <f>IF($B130="","",MAX(0,S130-AA130))</f>
        <v/>
      </c>
      <c r="AC130" s="9">
        <f>IF($B130="","",IF(T130="X","X",IF(AB130&gt;='Critères et poids'!$C$29,"A",IF(AB130&gt;='Critères et poids'!$C$30,"B","C"))))</f>
        <v/>
      </c>
      <c r="AD130" s="4" t="n"/>
      <c r="AE130" s="18" t="n"/>
      <c r="AF130" s="6" t="n"/>
      <c r="AH130">
        <f>IF($A130="","",IF(OR(WEEKDAY($A130,2)&gt;5,ROUND(MOD($A130,1)*1440,0)&gt;=ROUND('Critères et poids'!$C$37*1440,0)),WORKDAY(INT($A130),1)+ROUND('Critères et poids'!$C$36*1440,0)/1440,IF(ROUND(MOD($A130,1)*1440,0)&lt;ROUND('Critères et poids'!$C$36*1440,0),INT($A130)+ROUND('Critères et poids'!$C$36*1440,0)/1440,$A130)))</f>
        <v/>
      </c>
      <c r="AI130">
        <f>IF(AH130="","",ROUND(MOD(AH130,1)*1440,0))</f>
        <v/>
      </c>
      <c r="AJ130">
        <f>IF(T130="","",INDEX('Critères et poids'!$E$29:$E$32,MATCH(T130,'Critères et poids'!$A$29:$A$32,0)))</f>
        <v/>
      </c>
    </row>
    <row r="131">
      <c r="A131" s="13" t="n"/>
      <c r="B131" s="6" t="n"/>
      <c r="C131" s="6" t="n"/>
      <c r="D131" s="4" t="n"/>
      <c r="E131" s="4" t="n"/>
      <c r="F131" s="4" t="n"/>
      <c r="G131" s="4" t="n"/>
      <c r="H131" s="4" t="n"/>
      <c r="I131" s="4" t="n"/>
      <c r="J131" s="4" t="n"/>
      <c r="K131" s="4" t="n"/>
      <c r="L131" s="4" t="n"/>
      <c r="M131" s="4" t="n"/>
      <c r="N131" s="6" t="n"/>
      <c r="O131" s="6" t="n"/>
      <c r="P131" s="14">
        <f>IF($B131="","",(E131="Clair")*'Critères et poids'!$G$5+(E131="Partiel")*'Critères et poids'!$G$5/2+(F131="Clair")*'Critères et poids'!$G$6+(F131="Partiel")*'Critères et poids'!$G$6/2+(G131="Clair")*'Critères et poids'!$G$7+(G131="Partiel")*'Critères et poids'!$G$7/2+(H131="Clair")*'Critères et poids'!$G$8+(H131="Partiel")*'Critères et poids'!$G$8/2)</f>
        <v/>
      </c>
      <c r="Q131" s="14">
        <f>IF($B131="","",(I131="Clair")*'Critères et poids'!$G$9+(I131="Partiel")*'Critères et poids'!$G$9/2+(J131="Clair")*'Critères et poids'!$G$10+(J131="Partiel")*'Critères et poids'!$G$10/2+(K131="Clair")*'Critères et poids'!$G$11+(K131="Partiel")*'Critères et poids'!$G$11/2+(L131="Clair")*'Critères et poids'!$G$12+(L131="Partiel")*'Critères et poids'!$G$12/2+(M131="Clair")*'Critères et poids'!$G$13+(M131="Partiel")*'Critères et poids'!$G$13/2)</f>
        <v/>
      </c>
      <c r="R131" s="14">
        <f>IF($B131="","",IFERROR(VLOOKUP(N131,'Critères et poids'!$B$17:$C$20,2,FALSE),0))</f>
        <v/>
      </c>
      <c r="S131" s="9">
        <f>IF($B131="","",MAX(0,P131+Q131+R131))</f>
        <v/>
      </c>
      <c r="T131" s="9">
        <f>IF($B131="","",IF(O131&lt;&gt;"","X",IF(S131&gt;='Critères et poids'!$C$29,"A",IF(S131&gt;='Critères et poids'!$C$30,"B","C"))))</f>
        <v/>
      </c>
      <c r="U131" s="14">
        <f>IF(T131="","",INDEX('Critères et poids'!$D$29:$D$32,MATCH(T131,'Critères et poids'!$A$29:$A$32,0)))</f>
        <v/>
      </c>
      <c r="V131" s="14">
        <f>IF(T131="","",INDEX('Critères et poids'!$F$29:$F$32,MATCH(T131,'Critères et poids'!$A$29:$A$32,0)))</f>
        <v/>
      </c>
      <c r="W131" s="15">
        <f>IF(OR(AH131="",AJ131=""),"",IF(AI131+AJ131*60&lt;=ROUND('Critères et poids'!$C$37*1440,0),INT(AH131)+(AI131+AJ131*60)/1440,WORKDAY(INT(AH131),1+INT((AI131+AJ131*60-ROUND('Critères et poids'!$C$37*1440,0)-1)/(ROUND('Critères et poids'!$C$37*1440,0)-ROUND('Critères et poids'!$C$36*1440,0))))+(ROUND('Critères et poids'!$C$36*1440,0)+AI131+AJ131*60-ROUND('Critères et poids'!$C$37*1440,0)-INT((AI131+AJ131*60-ROUND('Critères et poids'!$C$37*1440,0)-1)/(ROUND('Critères et poids'!$C$37*1440,0)-ROUND('Critères et poids'!$C$36*1440,0)))*(ROUND('Critères et poids'!$C$37*1440,0)-ROUND('Critères et poids'!$C$36*1440,0)))/1440))</f>
        <v/>
      </c>
      <c r="X131" s="16" t="n"/>
      <c r="Y131" s="14">
        <f>IF(W131="","",IF(X131="",IF(NOW()&gt;W131,"En retard","En attente"),IF(X131&lt;=W131,"À temps","En retard")))</f>
        <v/>
      </c>
      <c r="Z131" s="17" t="n"/>
      <c r="AA131" s="14">
        <f>IF($B131="","",IF(OR(T131="X",AD131&lt;&gt;""),0,MAX(0,MIN(Q131,'Critères et poids'!$C$38*INT((TODAY()-IF(Z131&lt;&gt;"",Z131,INT($A131)))/7)))))</f>
        <v/>
      </c>
      <c r="AB131" s="14">
        <f>IF($B131="","",MAX(0,S131-AA131))</f>
        <v/>
      </c>
      <c r="AC131" s="9">
        <f>IF($B131="","",IF(T131="X","X",IF(AB131&gt;='Critères et poids'!$C$29,"A",IF(AB131&gt;='Critères et poids'!$C$30,"B","C"))))</f>
        <v/>
      </c>
      <c r="AD131" s="4" t="n"/>
      <c r="AE131" s="18" t="n"/>
      <c r="AF131" s="6" t="n"/>
      <c r="AH131">
        <f>IF($A131="","",IF(OR(WEEKDAY($A131,2)&gt;5,ROUND(MOD($A131,1)*1440,0)&gt;=ROUND('Critères et poids'!$C$37*1440,0)),WORKDAY(INT($A131),1)+ROUND('Critères et poids'!$C$36*1440,0)/1440,IF(ROUND(MOD($A131,1)*1440,0)&lt;ROUND('Critères et poids'!$C$36*1440,0),INT($A131)+ROUND('Critères et poids'!$C$36*1440,0)/1440,$A131)))</f>
        <v/>
      </c>
      <c r="AI131">
        <f>IF(AH131="","",ROUND(MOD(AH131,1)*1440,0))</f>
        <v/>
      </c>
      <c r="AJ131">
        <f>IF(T131="","",INDEX('Critères et poids'!$E$29:$E$32,MATCH(T131,'Critères et poids'!$A$29:$A$32,0)))</f>
        <v/>
      </c>
    </row>
    <row r="132">
      <c r="A132" s="13" t="n"/>
      <c r="B132" s="6" t="n"/>
      <c r="C132" s="6" t="n"/>
      <c r="D132" s="4" t="n"/>
      <c r="E132" s="4" t="n"/>
      <c r="F132" s="4" t="n"/>
      <c r="G132" s="4" t="n"/>
      <c r="H132" s="4" t="n"/>
      <c r="I132" s="4" t="n"/>
      <c r="J132" s="4" t="n"/>
      <c r="K132" s="4" t="n"/>
      <c r="L132" s="4" t="n"/>
      <c r="M132" s="4" t="n"/>
      <c r="N132" s="6" t="n"/>
      <c r="O132" s="6" t="n"/>
      <c r="P132" s="14">
        <f>IF($B132="","",(E132="Clair")*'Critères et poids'!$G$5+(E132="Partiel")*'Critères et poids'!$G$5/2+(F132="Clair")*'Critères et poids'!$G$6+(F132="Partiel")*'Critères et poids'!$G$6/2+(G132="Clair")*'Critères et poids'!$G$7+(G132="Partiel")*'Critères et poids'!$G$7/2+(H132="Clair")*'Critères et poids'!$G$8+(H132="Partiel")*'Critères et poids'!$G$8/2)</f>
        <v/>
      </c>
      <c r="Q132" s="14">
        <f>IF($B132="","",(I132="Clair")*'Critères et poids'!$G$9+(I132="Partiel")*'Critères et poids'!$G$9/2+(J132="Clair")*'Critères et poids'!$G$10+(J132="Partiel")*'Critères et poids'!$G$10/2+(K132="Clair")*'Critères et poids'!$G$11+(K132="Partiel")*'Critères et poids'!$G$11/2+(L132="Clair")*'Critères et poids'!$G$12+(L132="Partiel")*'Critères et poids'!$G$12/2+(M132="Clair")*'Critères et poids'!$G$13+(M132="Partiel")*'Critères et poids'!$G$13/2)</f>
        <v/>
      </c>
      <c r="R132" s="14">
        <f>IF($B132="","",IFERROR(VLOOKUP(N132,'Critères et poids'!$B$17:$C$20,2,FALSE),0))</f>
        <v/>
      </c>
      <c r="S132" s="9">
        <f>IF($B132="","",MAX(0,P132+Q132+R132))</f>
        <v/>
      </c>
      <c r="T132" s="9">
        <f>IF($B132="","",IF(O132&lt;&gt;"","X",IF(S132&gt;='Critères et poids'!$C$29,"A",IF(S132&gt;='Critères et poids'!$C$30,"B","C"))))</f>
        <v/>
      </c>
      <c r="U132" s="14">
        <f>IF(T132="","",INDEX('Critères et poids'!$D$29:$D$32,MATCH(T132,'Critères et poids'!$A$29:$A$32,0)))</f>
        <v/>
      </c>
      <c r="V132" s="14">
        <f>IF(T132="","",INDEX('Critères et poids'!$F$29:$F$32,MATCH(T132,'Critères et poids'!$A$29:$A$32,0)))</f>
        <v/>
      </c>
      <c r="W132" s="15">
        <f>IF(OR(AH132="",AJ132=""),"",IF(AI132+AJ132*60&lt;=ROUND('Critères et poids'!$C$37*1440,0),INT(AH132)+(AI132+AJ132*60)/1440,WORKDAY(INT(AH132),1+INT((AI132+AJ132*60-ROUND('Critères et poids'!$C$37*1440,0)-1)/(ROUND('Critères et poids'!$C$37*1440,0)-ROUND('Critères et poids'!$C$36*1440,0))))+(ROUND('Critères et poids'!$C$36*1440,0)+AI132+AJ132*60-ROUND('Critères et poids'!$C$37*1440,0)-INT((AI132+AJ132*60-ROUND('Critères et poids'!$C$37*1440,0)-1)/(ROUND('Critères et poids'!$C$37*1440,0)-ROUND('Critères et poids'!$C$36*1440,0)))*(ROUND('Critères et poids'!$C$37*1440,0)-ROUND('Critères et poids'!$C$36*1440,0)))/1440))</f>
        <v/>
      </c>
      <c r="X132" s="16" t="n"/>
      <c r="Y132" s="14">
        <f>IF(W132="","",IF(X132="",IF(NOW()&gt;W132,"En retard","En attente"),IF(X132&lt;=W132,"À temps","En retard")))</f>
        <v/>
      </c>
      <c r="Z132" s="17" t="n"/>
      <c r="AA132" s="14">
        <f>IF($B132="","",IF(OR(T132="X",AD132&lt;&gt;""),0,MAX(0,MIN(Q132,'Critères et poids'!$C$38*INT((TODAY()-IF(Z132&lt;&gt;"",Z132,INT($A132)))/7)))))</f>
        <v/>
      </c>
      <c r="AB132" s="14">
        <f>IF($B132="","",MAX(0,S132-AA132))</f>
        <v/>
      </c>
      <c r="AC132" s="9">
        <f>IF($B132="","",IF(T132="X","X",IF(AB132&gt;='Critères et poids'!$C$29,"A",IF(AB132&gt;='Critères et poids'!$C$30,"B","C"))))</f>
        <v/>
      </c>
      <c r="AD132" s="4" t="n"/>
      <c r="AE132" s="18" t="n"/>
      <c r="AF132" s="6" t="n"/>
      <c r="AH132">
        <f>IF($A132="","",IF(OR(WEEKDAY($A132,2)&gt;5,ROUND(MOD($A132,1)*1440,0)&gt;=ROUND('Critères et poids'!$C$37*1440,0)),WORKDAY(INT($A132),1)+ROUND('Critères et poids'!$C$36*1440,0)/1440,IF(ROUND(MOD($A132,1)*1440,0)&lt;ROUND('Critères et poids'!$C$36*1440,0),INT($A132)+ROUND('Critères et poids'!$C$36*1440,0)/1440,$A132)))</f>
        <v/>
      </c>
      <c r="AI132">
        <f>IF(AH132="","",ROUND(MOD(AH132,1)*1440,0))</f>
        <v/>
      </c>
      <c r="AJ132">
        <f>IF(T132="","",INDEX('Critères et poids'!$E$29:$E$32,MATCH(T132,'Critères et poids'!$A$29:$A$32,0)))</f>
        <v/>
      </c>
    </row>
    <row r="133">
      <c r="A133" s="13" t="n"/>
      <c r="B133" s="6" t="n"/>
      <c r="C133" s="6" t="n"/>
      <c r="D133" s="4" t="n"/>
      <c r="E133" s="4" t="n"/>
      <c r="F133" s="4" t="n"/>
      <c r="G133" s="4" t="n"/>
      <c r="H133" s="4" t="n"/>
      <c r="I133" s="4" t="n"/>
      <c r="J133" s="4" t="n"/>
      <c r="K133" s="4" t="n"/>
      <c r="L133" s="4" t="n"/>
      <c r="M133" s="4" t="n"/>
      <c r="N133" s="6" t="n"/>
      <c r="O133" s="6" t="n"/>
      <c r="P133" s="14">
        <f>IF($B133="","",(E133="Clair")*'Critères et poids'!$G$5+(E133="Partiel")*'Critères et poids'!$G$5/2+(F133="Clair")*'Critères et poids'!$G$6+(F133="Partiel")*'Critères et poids'!$G$6/2+(G133="Clair")*'Critères et poids'!$G$7+(G133="Partiel")*'Critères et poids'!$G$7/2+(H133="Clair")*'Critères et poids'!$G$8+(H133="Partiel")*'Critères et poids'!$G$8/2)</f>
        <v/>
      </c>
      <c r="Q133" s="14">
        <f>IF($B133="","",(I133="Clair")*'Critères et poids'!$G$9+(I133="Partiel")*'Critères et poids'!$G$9/2+(J133="Clair")*'Critères et poids'!$G$10+(J133="Partiel")*'Critères et poids'!$G$10/2+(K133="Clair")*'Critères et poids'!$G$11+(K133="Partiel")*'Critères et poids'!$G$11/2+(L133="Clair")*'Critères et poids'!$G$12+(L133="Partiel")*'Critères et poids'!$G$12/2+(M133="Clair")*'Critères et poids'!$G$13+(M133="Partiel")*'Critères et poids'!$G$13/2)</f>
        <v/>
      </c>
      <c r="R133" s="14">
        <f>IF($B133="","",IFERROR(VLOOKUP(N133,'Critères et poids'!$B$17:$C$20,2,FALSE),0))</f>
        <v/>
      </c>
      <c r="S133" s="9">
        <f>IF($B133="","",MAX(0,P133+Q133+R133))</f>
        <v/>
      </c>
      <c r="T133" s="9">
        <f>IF($B133="","",IF(O133&lt;&gt;"","X",IF(S133&gt;='Critères et poids'!$C$29,"A",IF(S133&gt;='Critères et poids'!$C$30,"B","C"))))</f>
        <v/>
      </c>
      <c r="U133" s="14">
        <f>IF(T133="","",INDEX('Critères et poids'!$D$29:$D$32,MATCH(T133,'Critères et poids'!$A$29:$A$32,0)))</f>
        <v/>
      </c>
      <c r="V133" s="14">
        <f>IF(T133="","",INDEX('Critères et poids'!$F$29:$F$32,MATCH(T133,'Critères et poids'!$A$29:$A$32,0)))</f>
        <v/>
      </c>
      <c r="W133" s="15">
        <f>IF(OR(AH133="",AJ133=""),"",IF(AI133+AJ133*60&lt;=ROUND('Critères et poids'!$C$37*1440,0),INT(AH133)+(AI133+AJ133*60)/1440,WORKDAY(INT(AH133),1+INT((AI133+AJ133*60-ROUND('Critères et poids'!$C$37*1440,0)-1)/(ROUND('Critères et poids'!$C$37*1440,0)-ROUND('Critères et poids'!$C$36*1440,0))))+(ROUND('Critères et poids'!$C$36*1440,0)+AI133+AJ133*60-ROUND('Critères et poids'!$C$37*1440,0)-INT((AI133+AJ133*60-ROUND('Critères et poids'!$C$37*1440,0)-1)/(ROUND('Critères et poids'!$C$37*1440,0)-ROUND('Critères et poids'!$C$36*1440,0)))*(ROUND('Critères et poids'!$C$37*1440,0)-ROUND('Critères et poids'!$C$36*1440,0)))/1440))</f>
        <v/>
      </c>
      <c r="X133" s="16" t="n"/>
      <c r="Y133" s="14">
        <f>IF(W133="","",IF(X133="",IF(NOW()&gt;W133,"En retard","En attente"),IF(X133&lt;=W133,"À temps","En retard")))</f>
        <v/>
      </c>
      <c r="Z133" s="17" t="n"/>
      <c r="AA133" s="14">
        <f>IF($B133="","",IF(OR(T133="X",AD133&lt;&gt;""),0,MAX(0,MIN(Q133,'Critères et poids'!$C$38*INT((TODAY()-IF(Z133&lt;&gt;"",Z133,INT($A133)))/7)))))</f>
        <v/>
      </c>
      <c r="AB133" s="14">
        <f>IF($B133="","",MAX(0,S133-AA133))</f>
        <v/>
      </c>
      <c r="AC133" s="9">
        <f>IF($B133="","",IF(T133="X","X",IF(AB133&gt;='Critères et poids'!$C$29,"A",IF(AB133&gt;='Critères et poids'!$C$30,"B","C"))))</f>
        <v/>
      </c>
      <c r="AD133" s="4" t="n"/>
      <c r="AE133" s="18" t="n"/>
      <c r="AF133" s="6" t="n"/>
      <c r="AH133">
        <f>IF($A133="","",IF(OR(WEEKDAY($A133,2)&gt;5,ROUND(MOD($A133,1)*1440,0)&gt;=ROUND('Critères et poids'!$C$37*1440,0)),WORKDAY(INT($A133),1)+ROUND('Critères et poids'!$C$36*1440,0)/1440,IF(ROUND(MOD($A133,1)*1440,0)&lt;ROUND('Critères et poids'!$C$36*1440,0),INT($A133)+ROUND('Critères et poids'!$C$36*1440,0)/1440,$A133)))</f>
        <v/>
      </c>
      <c r="AI133">
        <f>IF(AH133="","",ROUND(MOD(AH133,1)*1440,0))</f>
        <v/>
      </c>
      <c r="AJ133">
        <f>IF(T133="","",INDEX('Critères et poids'!$E$29:$E$32,MATCH(T133,'Critères et poids'!$A$29:$A$32,0)))</f>
        <v/>
      </c>
    </row>
    <row r="134">
      <c r="A134" s="13" t="n"/>
      <c r="B134" s="6" t="n"/>
      <c r="C134" s="6" t="n"/>
      <c r="D134" s="4" t="n"/>
      <c r="E134" s="4" t="n"/>
      <c r="F134" s="4" t="n"/>
      <c r="G134" s="4" t="n"/>
      <c r="H134" s="4" t="n"/>
      <c r="I134" s="4" t="n"/>
      <c r="J134" s="4" t="n"/>
      <c r="K134" s="4" t="n"/>
      <c r="L134" s="4" t="n"/>
      <c r="M134" s="4" t="n"/>
      <c r="N134" s="6" t="n"/>
      <c r="O134" s="6" t="n"/>
      <c r="P134" s="14">
        <f>IF($B134="","",(E134="Clair")*'Critères et poids'!$G$5+(E134="Partiel")*'Critères et poids'!$G$5/2+(F134="Clair")*'Critères et poids'!$G$6+(F134="Partiel")*'Critères et poids'!$G$6/2+(G134="Clair")*'Critères et poids'!$G$7+(G134="Partiel")*'Critères et poids'!$G$7/2+(H134="Clair")*'Critères et poids'!$G$8+(H134="Partiel")*'Critères et poids'!$G$8/2)</f>
        <v/>
      </c>
      <c r="Q134" s="14">
        <f>IF($B134="","",(I134="Clair")*'Critères et poids'!$G$9+(I134="Partiel")*'Critères et poids'!$G$9/2+(J134="Clair")*'Critères et poids'!$G$10+(J134="Partiel")*'Critères et poids'!$G$10/2+(K134="Clair")*'Critères et poids'!$G$11+(K134="Partiel")*'Critères et poids'!$G$11/2+(L134="Clair")*'Critères et poids'!$G$12+(L134="Partiel")*'Critères et poids'!$G$12/2+(M134="Clair")*'Critères et poids'!$G$13+(M134="Partiel")*'Critères et poids'!$G$13/2)</f>
        <v/>
      </c>
      <c r="R134" s="14">
        <f>IF($B134="","",IFERROR(VLOOKUP(N134,'Critères et poids'!$B$17:$C$20,2,FALSE),0))</f>
        <v/>
      </c>
      <c r="S134" s="9">
        <f>IF($B134="","",MAX(0,P134+Q134+R134))</f>
        <v/>
      </c>
      <c r="T134" s="9">
        <f>IF($B134="","",IF(O134&lt;&gt;"","X",IF(S134&gt;='Critères et poids'!$C$29,"A",IF(S134&gt;='Critères et poids'!$C$30,"B","C"))))</f>
        <v/>
      </c>
      <c r="U134" s="14">
        <f>IF(T134="","",INDEX('Critères et poids'!$D$29:$D$32,MATCH(T134,'Critères et poids'!$A$29:$A$32,0)))</f>
        <v/>
      </c>
      <c r="V134" s="14">
        <f>IF(T134="","",INDEX('Critères et poids'!$F$29:$F$32,MATCH(T134,'Critères et poids'!$A$29:$A$32,0)))</f>
        <v/>
      </c>
      <c r="W134" s="15">
        <f>IF(OR(AH134="",AJ134=""),"",IF(AI134+AJ134*60&lt;=ROUND('Critères et poids'!$C$37*1440,0),INT(AH134)+(AI134+AJ134*60)/1440,WORKDAY(INT(AH134),1+INT((AI134+AJ134*60-ROUND('Critères et poids'!$C$37*1440,0)-1)/(ROUND('Critères et poids'!$C$37*1440,0)-ROUND('Critères et poids'!$C$36*1440,0))))+(ROUND('Critères et poids'!$C$36*1440,0)+AI134+AJ134*60-ROUND('Critères et poids'!$C$37*1440,0)-INT((AI134+AJ134*60-ROUND('Critères et poids'!$C$37*1440,0)-1)/(ROUND('Critères et poids'!$C$37*1440,0)-ROUND('Critères et poids'!$C$36*1440,0)))*(ROUND('Critères et poids'!$C$37*1440,0)-ROUND('Critères et poids'!$C$36*1440,0)))/1440))</f>
        <v/>
      </c>
      <c r="X134" s="16" t="n"/>
      <c r="Y134" s="14">
        <f>IF(W134="","",IF(X134="",IF(NOW()&gt;W134,"En retard","En attente"),IF(X134&lt;=W134,"À temps","En retard")))</f>
        <v/>
      </c>
      <c r="Z134" s="17" t="n"/>
      <c r="AA134" s="14">
        <f>IF($B134="","",IF(OR(T134="X",AD134&lt;&gt;""),0,MAX(0,MIN(Q134,'Critères et poids'!$C$38*INT((TODAY()-IF(Z134&lt;&gt;"",Z134,INT($A134)))/7)))))</f>
        <v/>
      </c>
      <c r="AB134" s="14">
        <f>IF($B134="","",MAX(0,S134-AA134))</f>
        <v/>
      </c>
      <c r="AC134" s="9">
        <f>IF($B134="","",IF(T134="X","X",IF(AB134&gt;='Critères et poids'!$C$29,"A",IF(AB134&gt;='Critères et poids'!$C$30,"B","C"))))</f>
        <v/>
      </c>
      <c r="AD134" s="4" t="n"/>
      <c r="AE134" s="18" t="n"/>
      <c r="AF134" s="6" t="n"/>
      <c r="AH134">
        <f>IF($A134="","",IF(OR(WEEKDAY($A134,2)&gt;5,ROUND(MOD($A134,1)*1440,0)&gt;=ROUND('Critères et poids'!$C$37*1440,0)),WORKDAY(INT($A134),1)+ROUND('Critères et poids'!$C$36*1440,0)/1440,IF(ROUND(MOD($A134,1)*1440,0)&lt;ROUND('Critères et poids'!$C$36*1440,0),INT($A134)+ROUND('Critères et poids'!$C$36*1440,0)/1440,$A134)))</f>
        <v/>
      </c>
      <c r="AI134">
        <f>IF(AH134="","",ROUND(MOD(AH134,1)*1440,0))</f>
        <v/>
      </c>
      <c r="AJ134">
        <f>IF(T134="","",INDEX('Critères et poids'!$E$29:$E$32,MATCH(T134,'Critères et poids'!$A$29:$A$32,0)))</f>
        <v/>
      </c>
    </row>
    <row r="135">
      <c r="A135" s="13" t="n"/>
      <c r="B135" s="6" t="n"/>
      <c r="C135" s="6" t="n"/>
      <c r="D135" s="4" t="n"/>
      <c r="E135" s="4" t="n"/>
      <c r="F135" s="4" t="n"/>
      <c r="G135" s="4" t="n"/>
      <c r="H135" s="4" t="n"/>
      <c r="I135" s="4" t="n"/>
      <c r="J135" s="4" t="n"/>
      <c r="K135" s="4" t="n"/>
      <c r="L135" s="4" t="n"/>
      <c r="M135" s="4" t="n"/>
      <c r="N135" s="6" t="n"/>
      <c r="O135" s="6" t="n"/>
      <c r="P135" s="14">
        <f>IF($B135="","",(E135="Clair")*'Critères et poids'!$G$5+(E135="Partiel")*'Critères et poids'!$G$5/2+(F135="Clair")*'Critères et poids'!$G$6+(F135="Partiel")*'Critères et poids'!$G$6/2+(G135="Clair")*'Critères et poids'!$G$7+(G135="Partiel")*'Critères et poids'!$G$7/2+(H135="Clair")*'Critères et poids'!$G$8+(H135="Partiel")*'Critères et poids'!$G$8/2)</f>
        <v/>
      </c>
      <c r="Q135" s="14">
        <f>IF($B135="","",(I135="Clair")*'Critères et poids'!$G$9+(I135="Partiel")*'Critères et poids'!$G$9/2+(J135="Clair")*'Critères et poids'!$G$10+(J135="Partiel")*'Critères et poids'!$G$10/2+(K135="Clair")*'Critères et poids'!$G$11+(K135="Partiel")*'Critères et poids'!$G$11/2+(L135="Clair")*'Critères et poids'!$G$12+(L135="Partiel")*'Critères et poids'!$G$12/2+(M135="Clair")*'Critères et poids'!$G$13+(M135="Partiel")*'Critères et poids'!$G$13/2)</f>
        <v/>
      </c>
      <c r="R135" s="14">
        <f>IF($B135="","",IFERROR(VLOOKUP(N135,'Critères et poids'!$B$17:$C$20,2,FALSE),0))</f>
        <v/>
      </c>
      <c r="S135" s="9">
        <f>IF($B135="","",MAX(0,P135+Q135+R135))</f>
        <v/>
      </c>
      <c r="T135" s="9">
        <f>IF($B135="","",IF(O135&lt;&gt;"","X",IF(S135&gt;='Critères et poids'!$C$29,"A",IF(S135&gt;='Critères et poids'!$C$30,"B","C"))))</f>
        <v/>
      </c>
      <c r="U135" s="14">
        <f>IF(T135="","",INDEX('Critères et poids'!$D$29:$D$32,MATCH(T135,'Critères et poids'!$A$29:$A$32,0)))</f>
        <v/>
      </c>
      <c r="V135" s="14">
        <f>IF(T135="","",INDEX('Critères et poids'!$F$29:$F$32,MATCH(T135,'Critères et poids'!$A$29:$A$32,0)))</f>
        <v/>
      </c>
      <c r="W135" s="15">
        <f>IF(OR(AH135="",AJ135=""),"",IF(AI135+AJ135*60&lt;=ROUND('Critères et poids'!$C$37*1440,0),INT(AH135)+(AI135+AJ135*60)/1440,WORKDAY(INT(AH135),1+INT((AI135+AJ135*60-ROUND('Critères et poids'!$C$37*1440,0)-1)/(ROUND('Critères et poids'!$C$37*1440,0)-ROUND('Critères et poids'!$C$36*1440,0))))+(ROUND('Critères et poids'!$C$36*1440,0)+AI135+AJ135*60-ROUND('Critères et poids'!$C$37*1440,0)-INT((AI135+AJ135*60-ROUND('Critères et poids'!$C$37*1440,0)-1)/(ROUND('Critères et poids'!$C$37*1440,0)-ROUND('Critères et poids'!$C$36*1440,0)))*(ROUND('Critères et poids'!$C$37*1440,0)-ROUND('Critères et poids'!$C$36*1440,0)))/1440))</f>
        <v/>
      </c>
      <c r="X135" s="16" t="n"/>
      <c r="Y135" s="14">
        <f>IF(W135="","",IF(X135="",IF(NOW()&gt;W135,"En retard","En attente"),IF(X135&lt;=W135,"À temps","En retard")))</f>
        <v/>
      </c>
      <c r="Z135" s="17" t="n"/>
      <c r="AA135" s="14">
        <f>IF($B135="","",IF(OR(T135="X",AD135&lt;&gt;""),0,MAX(0,MIN(Q135,'Critères et poids'!$C$38*INT((TODAY()-IF(Z135&lt;&gt;"",Z135,INT($A135)))/7)))))</f>
        <v/>
      </c>
      <c r="AB135" s="14">
        <f>IF($B135="","",MAX(0,S135-AA135))</f>
        <v/>
      </c>
      <c r="AC135" s="9">
        <f>IF($B135="","",IF(T135="X","X",IF(AB135&gt;='Critères et poids'!$C$29,"A",IF(AB135&gt;='Critères et poids'!$C$30,"B","C"))))</f>
        <v/>
      </c>
      <c r="AD135" s="4" t="n"/>
      <c r="AE135" s="18" t="n"/>
      <c r="AF135" s="6" t="n"/>
      <c r="AH135">
        <f>IF($A135="","",IF(OR(WEEKDAY($A135,2)&gt;5,ROUND(MOD($A135,1)*1440,0)&gt;=ROUND('Critères et poids'!$C$37*1440,0)),WORKDAY(INT($A135),1)+ROUND('Critères et poids'!$C$36*1440,0)/1440,IF(ROUND(MOD($A135,1)*1440,0)&lt;ROUND('Critères et poids'!$C$36*1440,0),INT($A135)+ROUND('Critères et poids'!$C$36*1440,0)/1440,$A135)))</f>
        <v/>
      </c>
      <c r="AI135">
        <f>IF(AH135="","",ROUND(MOD(AH135,1)*1440,0))</f>
        <v/>
      </c>
      <c r="AJ135">
        <f>IF(T135="","",INDEX('Critères et poids'!$E$29:$E$32,MATCH(T135,'Critères et poids'!$A$29:$A$32,0)))</f>
        <v/>
      </c>
    </row>
    <row r="136">
      <c r="A136" s="13" t="n"/>
      <c r="B136" s="6" t="n"/>
      <c r="C136" s="6" t="n"/>
      <c r="D136" s="4" t="n"/>
      <c r="E136" s="4" t="n"/>
      <c r="F136" s="4" t="n"/>
      <c r="G136" s="4" t="n"/>
      <c r="H136" s="4" t="n"/>
      <c r="I136" s="4" t="n"/>
      <c r="J136" s="4" t="n"/>
      <c r="K136" s="4" t="n"/>
      <c r="L136" s="4" t="n"/>
      <c r="M136" s="4" t="n"/>
      <c r="N136" s="6" t="n"/>
      <c r="O136" s="6" t="n"/>
      <c r="P136" s="14">
        <f>IF($B136="","",(E136="Clair")*'Critères et poids'!$G$5+(E136="Partiel")*'Critères et poids'!$G$5/2+(F136="Clair")*'Critères et poids'!$G$6+(F136="Partiel")*'Critères et poids'!$G$6/2+(G136="Clair")*'Critères et poids'!$G$7+(G136="Partiel")*'Critères et poids'!$G$7/2+(H136="Clair")*'Critères et poids'!$G$8+(H136="Partiel")*'Critères et poids'!$G$8/2)</f>
        <v/>
      </c>
      <c r="Q136" s="14">
        <f>IF($B136="","",(I136="Clair")*'Critères et poids'!$G$9+(I136="Partiel")*'Critères et poids'!$G$9/2+(J136="Clair")*'Critères et poids'!$G$10+(J136="Partiel")*'Critères et poids'!$G$10/2+(K136="Clair")*'Critères et poids'!$G$11+(K136="Partiel")*'Critères et poids'!$G$11/2+(L136="Clair")*'Critères et poids'!$G$12+(L136="Partiel")*'Critères et poids'!$G$12/2+(M136="Clair")*'Critères et poids'!$G$13+(M136="Partiel")*'Critères et poids'!$G$13/2)</f>
        <v/>
      </c>
      <c r="R136" s="14">
        <f>IF($B136="","",IFERROR(VLOOKUP(N136,'Critères et poids'!$B$17:$C$20,2,FALSE),0))</f>
        <v/>
      </c>
      <c r="S136" s="9">
        <f>IF($B136="","",MAX(0,P136+Q136+R136))</f>
        <v/>
      </c>
      <c r="T136" s="9">
        <f>IF($B136="","",IF(O136&lt;&gt;"","X",IF(S136&gt;='Critères et poids'!$C$29,"A",IF(S136&gt;='Critères et poids'!$C$30,"B","C"))))</f>
        <v/>
      </c>
      <c r="U136" s="14">
        <f>IF(T136="","",INDEX('Critères et poids'!$D$29:$D$32,MATCH(T136,'Critères et poids'!$A$29:$A$32,0)))</f>
        <v/>
      </c>
      <c r="V136" s="14">
        <f>IF(T136="","",INDEX('Critères et poids'!$F$29:$F$32,MATCH(T136,'Critères et poids'!$A$29:$A$32,0)))</f>
        <v/>
      </c>
      <c r="W136" s="15">
        <f>IF(OR(AH136="",AJ136=""),"",IF(AI136+AJ136*60&lt;=ROUND('Critères et poids'!$C$37*1440,0),INT(AH136)+(AI136+AJ136*60)/1440,WORKDAY(INT(AH136),1+INT((AI136+AJ136*60-ROUND('Critères et poids'!$C$37*1440,0)-1)/(ROUND('Critères et poids'!$C$37*1440,0)-ROUND('Critères et poids'!$C$36*1440,0))))+(ROUND('Critères et poids'!$C$36*1440,0)+AI136+AJ136*60-ROUND('Critères et poids'!$C$37*1440,0)-INT((AI136+AJ136*60-ROUND('Critères et poids'!$C$37*1440,0)-1)/(ROUND('Critères et poids'!$C$37*1440,0)-ROUND('Critères et poids'!$C$36*1440,0)))*(ROUND('Critères et poids'!$C$37*1440,0)-ROUND('Critères et poids'!$C$36*1440,0)))/1440))</f>
        <v/>
      </c>
      <c r="X136" s="16" t="n"/>
      <c r="Y136" s="14">
        <f>IF(W136="","",IF(X136="",IF(NOW()&gt;W136,"En retard","En attente"),IF(X136&lt;=W136,"À temps","En retard")))</f>
        <v/>
      </c>
      <c r="Z136" s="17" t="n"/>
      <c r="AA136" s="14">
        <f>IF($B136="","",IF(OR(T136="X",AD136&lt;&gt;""),0,MAX(0,MIN(Q136,'Critères et poids'!$C$38*INT((TODAY()-IF(Z136&lt;&gt;"",Z136,INT($A136)))/7)))))</f>
        <v/>
      </c>
      <c r="AB136" s="14">
        <f>IF($B136="","",MAX(0,S136-AA136))</f>
        <v/>
      </c>
      <c r="AC136" s="9">
        <f>IF($B136="","",IF(T136="X","X",IF(AB136&gt;='Critères et poids'!$C$29,"A",IF(AB136&gt;='Critères et poids'!$C$30,"B","C"))))</f>
        <v/>
      </c>
      <c r="AD136" s="4" t="n"/>
      <c r="AE136" s="18" t="n"/>
      <c r="AF136" s="6" t="n"/>
      <c r="AH136">
        <f>IF($A136="","",IF(OR(WEEKDAY($A136,2)&gt;5,ROUND(MOD($A136,1)*1440,0)&gt;=ROUND('Critères et poids'!$C$37*1440,0)),WORKDAY(INT($A136),1)+ROUND('Critères et poids'!$C$36*1440,0)/1440,IF(ROUND(MOD($A136,1)*1440,0)&lt;ROUND('Critères et poids'!$C$36*1440,0),INT($A136)+ROUND('Critères et poids'!$C$36*1440,0)/1440,$A136)))</f>
        <v/>
      </c>
      <c r="AI136">
        <f>IF(AH136="","",ROUND(MOD(AH136,1)*1440,0))</f>
        <v/>
      </c>
      <c r="AJ136">
        <f>IF(T136="","",INDEX('Critères et poids'!$E$29:$E$32,MATCH(T136,'Critères et poids'!$A$29:$A$32,0)))</f>
        <v/>
      </c>
    </row>
    <row r="137">
      <c r="A137" s="13" t="n"/>
      <c r="B137" s="6" t="n"/>
      <c r="C137" s="6" t="n"/>
      <c r="D137" s="4" t="n"/>
      <c r="E137" s="4" t="n"/>
      <c r="F137" s="4" t="n"/>
      <c r="G137" s="4" t="n"/>
      <c r="H137" s="4" t="n"/>
      <c r="I137" s="4" t="n"/>
      <c r="J137" s="4" t="n"/>
      <c r="K137" s="4" t="n"/>
      <c r="L137" s="4" t="n"/>
      <c r="M137" s="4" t="n"/>
      <c r="N137" s="6" t="n"/>
      <c r="O137" s="6" t="n"/>
      <c r="P137" s="14">
        <f>IF($B137="","",(E137="Clair")*'Critères et poids'!$G$5+(E137="Partiel")*'Critères et poids'!$G$5/2+(F137="Clair")*'Critères et poids'!$G$6+(F137="Partiel")*'Critères et poids'!$G$6/2+(G137="Clair")*'Critères et poids'!$G$7+(G137="Partiel")*'Critères et poids'!$G$7/2+(H137="Clair")*'Critères et poids'!$G$8+(H137="Partiel")*'Critères et poids'!$G$8/2)</f>
        <v/>
      </c>
      <c r="Q137" s="14">
        <f>IF($B137="","",(I137="Clair")*'Critères et poids'!$G$9+(I137="Partiel")*'Critères et poids'!$G$9/2+(J137="Clair")*'Critères et poids'!$G$10+(J137="Partiel")*'Critères et poids'!$G$10/2+(K137="Clair")*'Critères et poids'!$G$11+(K137="Partiel")*'Critères et poids'!$G$11/2+(L137="Clair")*'Critères et poids'!$G$12+(L137="Partiel")*'Critères et poids'!$G$12/2+(M137="Clair")*'Critères et poids'!$G$13+(M137="Partiel")*'Critères et poids'!$G$13/2)</f>
        <v/>
      </c>
      <c r="R137" s="14">
        <f>IF($B137="","",IFERROR(VLOOKUP(N137,'Critères et poids'!$B$17:$C$20,2,FALSE),0))</f>
        <v/>
      </c>
      <c r="S137" s="9">
        <f>IF($B137="","",MAX(0,P137+Q137+R137))</f>
        <v/>
      </c>
      <c r="T137" s="9">
        <f>IF($B137="","",IF(O137&lt;&gt;"","X",IF(S137&gt;='Critères et poids'!$C$29,"A",IF(S137&gt;='Critères et poids'!$C$30,"B","C"))))</f>
        <v/>
      </c>
      <c r="U137" s="14">
        <f>IF(T137="","",INDEX('Critères et poids'!$D$29:$D$32,MATCH(T137,'Critères et poids'!$A$29:$A$32,0)))</f>
        <v/>
      </c>
      <c r="V137" s="14">
        <f>IF(T137="","",INDEX('Critères et poids'!$F$29:$F$32,MATCH(T137,'Critères et poids'!$A$29:$A$32,0)))</f>
        <v/>
      </c>
      <c r="W137" s="15">
        <f>IF(OR(AH137="",AJ137=""),"",IF(AI137+AJ137*60&lt;=ROUND('Critères et poids'!$C$37*1440,0),INT(AH137)+(AI137+AJ137*60)/1440,WORKDAY(INT(AH137),1+INT((AI137+AJ137*60-ROUND('Critères et poids'!$C$37*1440,0)-1)/(ROUND('Critères et poids'!$C$37*1440,0)-ROUND('Critères et poids'!$C$36*1440,0))))+(ROUND('Critères et poids'!$C$36*1440,0)+AI137+AJ137*60-ROUND('Critères et poids'!$C$37*1440,0)-INT((AI137+AJ137*60-ROUND('Critères et poids'!$C$37*1440,0)-1)/(ROUND('Critères et poids'!$C$37*1440,0)-ROUND('Critères et poids'!$C$36*1440,0)))*(ROUND('Critères et poids'!$C$37*1440,0)-ROUND('Critères et poids'!$C$36*1440,0)))/1440))</f>
        <v/>
      </c>
      <c r="X137" s="16" t="n"/>
      <c r="Y137" s="14">
        <f>IF(W137="","",IF(X137="",IF(NOW()&gt;W137,"En retard","En attente"),IF(X137&lt;=W137,"À temps","En retard")))</f>
        <v/>
      </c>
      <c r="Z137" s="17" t="n"/>
      <c r="AA137" s="14">
        <f>IF($B137="","",IF(OR(T137="X",AD137&lt;&gt;""),0,MAX(0,MIN(Q137,'Critères et poids'!$C$38*INT((TODAY()-IF(Z137&lt;&gt;"",Z137,INT($A137)))/7)))))</f>
        <v/>
      </c>
      <c r="AB137" s="14">
        <f>IF($B137="","",MAX(0,S137-AA137))</f>
        <v/>
      </c>
      <c r="AC137" s="9">
        <f>IF($B137="","",IF(T137="X","X",IF(AB137&gt;='Critères et poids'!$C$29,"A",IF(AB137&gt;='Critères et poids'!$C$30,"B","C"))))</f>
        <v/>
      </c>
      <c r="AD137" s="4" t="n"/>
      <c r="AE137" s="18" t="n"/>
      <c r="AF137" s="6" t="n"/>
      <c r="AH137">
        <f>IF($A137="","",IF(OR(WEEKDAY($A137,2)&gt;5,ROUND(MOD($A137,1)*1440,0)&gt;=ROUND('Critères et poids'!$C$37*1440,0)),WORKDAY(INT($A137),1)+ROUND('Critères et poids'!$C$36*1440,0)/1440,IF(ROUND(MOD($A137,1)*1440,0)&lt;ROUND('Critères et poids'!$C$36*1440,0),INT($A137)+ROUND('Critères et poids'!$C$36*1440,0)/1440,$A137)))</f>
        <v/>
      </c>
      <c r="AI137">
        <f>IF(AH137="","",ROUND(MOD(AH137,1)*1440,0))</f>
        <v/>
      </c>
      <c r="AJ137">
        <f>IF(T137="","",INDEX('Critères et poids'!$E$29:$E$32,MATCH(T137,'Critères et poids'!$A$29:$A$32,0)))</f>
        <v/>
      </c>
    </row>
    <row r="138">
      <c r="A138" s="13" t="n"/>
      <c r="B138" s="6" t="n"/>
      <c r="C138" s="6" t="n"/>
      <c r="D138" s="4" t="n"/>
      <c r="E138" s="4" t="n"/>
      <c r="F138" s="4" t="n"/>
      <c r="G138" s="4" t="n"/>
      <c r="H138" s="4" t="n"/>
      <c r="I138" s="4" t="n"/>
      <c r="J138" s="4" t="n"/>
      <c r="K138" s="4" t="n"/>
      <c r="L138" s="4" t="n"/>
      <c r="M138" s="4" t="n"/>
      <c r="N138" s="6" t="n"/>
      <c r="O138" s="6" t="n"/>
      <c r="P138" s="14">
        <f>IF($B138="","",(E138="Clair")*'Critères et poids'!$G$5+(E138="Partiel")*'Critères et poids'!$G$5/2+(F138="Clair")*'Critères et poids'!$G$6+(F138="Partiel")*'Critères et poids'!$G$6/2+(G138="Clair")*'Critères et poids'!$G$7+(G138="Partiel")*'Critères et poids'!$G$7/2+(H138="Clair")*'Critères et poids'!$G$8+(H138="Partiel")*'Critères et poids'!$G$8/2)</f>
        <v/>
      </c>
      <c r="Q138" s="14">
        <f>IF($B138="","",(I138="Clair")*'Critères et poids'!$G$9+(I138="Partiel")*'Critères et poids'!$G$9/2+(J138="Clair")*'Critères et poids'!$G$10+(J138="Partiel")*'Critères et poids'!$G$10/2+(K138="Clair")*'Critères et poids'!$G$11+(K138="Partiel")*'Critères et poids'!$G$11/2+(L138="Clair")*'Critères et poids'!$G$12+(L138="Partiel")*'Critères et poids'!$G$12/2+(M138="Clair")*'Critères et poids'!$G$13+(M138="Partiel")*'Critères et poids'!$G$13/2)</f>
        <v/>
      </c>
      <c r="R138" s="14">
        <f>IF($B138="","",IFERROR(VLOOKUP(N138,'Critères et poids'!$B$17:$C$20,2,FALSE),0))</f>
        <v/>
      </c>
      <c r="S138" s="9">
        <f>IF($B138="","",MAX(0,P138+Q138+R138))</f>
        <v/>
      </c>
      <c r="T138" s="9">
        <f>IF($B138="","",IF(O138&lt;&gt;"","X",IF(S138&gt;='Critères et poids'!$C$29,"A",IF(S138&gt;='Critères et poids'!$C$30,"B","C"))))</f>
        <v/>
      </c>
      <c r="U138" s="14">
        <f>IF(T138="","",INDEX('Critères et poids'!$D$29:$D$32,MATCH(T138,'Critères et poids'!$A$29:$A$32,0)))</f>
        <v/>
      </c>
      <c r="V138" s="14">
        <f>IF(T138="","",INDEX('Critères et poids'!$F$29:$F$32,MATCH(T138,'Critères et poids'!$A$29:$A$32,0)))</f>
        <v/>
      </c>
      <c r="W138" s="15">
        <f>IF(OR(AH138="",AJ138=""),"",IF(AI138+AJ138*60&lt;=ROUND('Critères et poids'!$C$37*1440,0),INT(AH138)+(AI138+AJ138*60)/1440,WORKDAY(INT(AH138),1+INT((AI138+AJ138*60-ROUND('Critères et poids'!$C$37*1440,0)-1)/(ROUND('Critères et poids'!$C$37*1440,0)-ROUND('Critères et poids'!$C$36*1440,0))))+(ROUND('Critères et poids'!$C$36*1440,0)+AI138+AJ138*60-ROUND('Critères et poids'!$C$37*1440,0)-INT((AI138+AJ138*60-ROUND('Critères et poids'!$C$37*1440,0)-1)/(ROUND('Critères et poids'!$C$37*1440,0)-ROUND('Critères et poids'!$C$36*1440,0)))*(ROUND('Critères et poids'!$C$37*1440,0)-ROUND('Critères et poids'!$C$36*1440,0)))/1440))</f>
        <v/>
      </c>
      <c r="X138" s="16" t="n"/>
      <c r="Y138" s="14">
        <f>IF(W138="","",IF(X138="",IF(NOW()&gt;W138,"En retard","En attente"),IF(X138&lt;=W138,"À temps","En retard")))</f>
        <v/>
      </c>
      <c r="Z138" s="17" t="n"/>
      <c r="AA138" s="14">
        <f>IF($B138="","",IF(OR(T138="X",AD138&lt;&gt;""),0,MAX(0,MIN(Q138,'Critères et poids'!$C$38*INT((TODAY()-IF(Z138&lt;&gt;"",Z138,INT($A138)))/7)))))</f>
        <v/>
      </c>
      <c r="AB138" s="14">
        <f>IF($B138="","",MAX(0,S138-AA138))</f>
        <v/>
      </c>
      <c r="AC138" s="9">
        <f>IF($B138="","",IF(T138="X","X",IF(AB138&gt;='Critères et poids'!$C$29,"A",IF(AB138&gt;='Critères et poids'!$C$30,"B","C"))))</f>
        <v/>
      </c>
      <c r="AD138" s="4" t="n"/>
      <c r="AE138" s="18" t="n"/>
      <c r="AF138" s="6" t="n"/>
      <c r="AH138">
        <f>IF($A138="","",IF(OR(WEEKDAY($A138,2)&gt;5,ROUND(MOD($A138,1)*1440,0)&gt;=ROUND('Critères et poids'!$C$37*1440,0)),WORKDAY(INT($A138),1)+ROUND('Critères et poids'!$C$36*1440,0)/1440,IF(ROUND(MOD($A138,1)*1440,0)&lt;ROUND('Critères et poids'!$C$36*1440,0),INT($A138)+ROUND('Critères et poids'!$C$36*1440,0)/1440,$A138)))</f>
        <v/>
      </c>
      <c r="AI138">
        <f>IF(AH138="","",ROUND(MOD(AH138,1)*1440,0))</f>
        <v/>
      </c>
      <c r="AJ138">
        <f>IF(T138="","",INDEX('Critères et poids'!$E$29:$E$32,MATCH(T138,'Critères et poids'!$A$29:$A$32,0)))</f>
        <v/>
      </c>
    </row>
    <row r="139">
      <c r="A139" s="13" t="n"/>
      <c r="B139" s="6" t="n"/>
      <c r="C139" s="6" t="n"/>
      <c r="D139" s="4" t="n"/>
      <c r="E139" s="4" t="n"/>
      <c r="F139" s="4" t="n"/>
      <c r="G139" s="4" t="n"/>
      <c r="H139" s="4" t="n"/>
      <c r="I139" s="4" t="n"/>
      <c r="J139" s="4" t="n"/>
      <c r="K139" s="4" t="n"/>
      <c r="L139" s="4" t="n"/>
      <c r="M139" s="4" t="n"/>
      <c r="N139" s="6" t="n"/>
      <c r="O139" s="6" t="n"/>
      <c r="P139" s="14">
        <f>IF($B139="","",(E139="Clair")*'Critères et poids'!$G$5+(E139="Partiel")*'Critères et poids'!$G$5/2+(F139="Clair")*'Critères et poids'!$G$6+(F139="Partiel")*'Critères et poids'!$G$6/2+(G139="Clair")*'Critères et poids'!$G$7+(G139="Partiel")*'Critères et poids'!$G$7/2+(H139="Clair")*'Critères et poids'!$G$8+(H139="Partiel")*'Critères et poids'!$G$8/2)</f>
        <v/>
      </c>
      <c r="Q139" s="14">
        <f>IF($B139="","",(I139="Clair")*'Critères et poids'!$G$9+(I139="Partiel")*'Critères et poids'!$G$9/2+(J139="Clair")*'Critères et poids'!$G$10+(J139="Partiel")*'Critères et poids'!$G$10/2+(K139="Clair")*'Critères et poids'!$G$11+(K139="Partiel")*'Critères et poids'!$G$11/2+(L139="Clair")*'Critères et poids'!$G$12+(L139="Partiel")*'Critères et poids'!$G$12/2+(M139="Clair")*'Critères et poids'!$G$13+(M139="Partiel")*'Critères et poids'!$G$13/2)</f>
        <v/>
      </c>
      <c r="R139" s="14">
        <f>IF($B139="","",IFERROR(VLOOKUP(N139,'Critères et poids'!$B$17:$C$20,2,FALSE),0))</f>
        <v/>
      </c>
      <c r="S139" s="9">
        <f>IF($B139="","",MAX(0,P139+Q139+R139))</f>
        <v/>
      </c>
      <c r="T139" s="9">
        <f>IF($B139="","",IF(O139&lt;&gt;"","X",IF(S139&gt;='Critères et poids'!$C$29,"A",IF(S139&gt;='Critères et poids'!$C$30,"B","C"))))</f>
        <v/>
      </c>
      <c r="U139" s="14">
        <f>IF(T139="","",INDEX('Critères et poids'!$D$29:$D$32,MATCH(T139,'Critères et poids'!$A$29:$A$32,0)))</f>
        <v/>
      </c>
      <c r="V139" s="14">
        <f>IF(T139="","",INDEX('Critères et poids'!$F$29:$F$32,MATCH(T139,'Critères et poids'!$A$29:$A$32,0)))</f>
        <v/>
      </c>
      <c r="W139" s="15">
        <f>IF(OR(AH139="",AJ139=""),"",IF(AI139+AJ139*60&lt;=ROUND('Critères et poids'!$C$37*1440,0),INT(AH139)+(AI139+AJ139*60)/1440,WORKDAY(INT(AH139),1+INT((AI139+AJ139*60-ROUND('Critères et poids'!$C$37*1440,0)-1)/(ROUND('Critères et poids'!$C$37*1440,0)-ROUND('Critères et poids'!$C$36*1440,0))))+(ROUND('Critères et poids'!$C$36*1440,0)+AI139+AJ139*60-ROUND('Critères et poids'!$C$37*1440,0)-INT((AI139+AJ139*60-ROUND('Critères et poids'!$C$37*1440,0)-1)/(ROUND('Critères et poids'!$C$37*1440,0)-ROUND('Critères et poids'!$C$36*1440,0)))*(ROUND('Critères et poids'!$C$37*1440,0)-ROUND('Critères et poids'!$C$36*1440,0)))/1440))</f>
        <v/>
      </c>
      <c r="X139" s="16" t="n"/>
      <c r="Y139" s="14">
        <f>IF(W139="","",IF(X139="",IF(NOW()&gt;W139,"En retard","En attente"),IF(X139&lt;=W139,"À temps","En retard")))</f>
        <v/>
      </c>
      <c r="Z139" s="17" t="n"/>
      <c r="AA139" s="14">
        <f>IF($B139="","",IF(OR(T139="X",AD139&lt;&gt;""),0,MAX(0,MIN(Q139,'Critères et poids'!$C$38*INT((TODAY()-IF(Z139&lt;&gt;"",Z139,INT($A139)))/7)))))</f>
        <v/>
      </c>
      <c r="AB139" s="14">
        <f>IF($B139="","",MAX(0,S139-AA139))</f>
        <v/>
      </c>
      <c r="AC139" s="9">
        <f>IF($B139="","",IF(T139="X","X",IF(AB139&gt;='Critères et poids'!$C$29,"A",IF(AB139&gt;='Critères et poids'!$C$30,"B","C"))))</f>
        <v/>
      </c>
      <c r="AD139" s="4" t="n"/>
      <c r="AE139" s="18" t="n"/>
      <c r="AF139" s="6" t="n"/>
      <c r="AH139">
        <f>IF($A139="","",IF(OR(WEEKDAY($A139,2)&gt;5,ROUND(MOD($A139,1)*1440,0)&gt;=ROUND('Critères et poids'!$C$37*1440,0)),WORKDAY(INT($A139),1)+ROUND('Critères et poids'!$C$36*1440,0)/1440,IF(ROUND(MOD($A139,1)*1440,0)&lt;ROUND('Critères et poids'!$C$36*1440,0),INT($A139)+ROUND('Critères et poids'!$C$36*1440,0)/1440,$A139)))</f>
        <v/>
      </c>
      <c r="AI139">
        <f>IF(AH139="","",ROUND(MOD(AH139,1)*1440,0))</f>
        <v/>
      </c>
      <c r="AJ139">
        <f>IF(T139="","",INDEX('Critères et poids'!$E$29:$E$32,MATCH(T139,'Critères et poids'!$A$29:$A$32,0)))</f>
        <v/>
      </c>
    </row>
    <row r="140">
      <c r="A140" s="13" t="n"/>
      <c r="B140" s="6" t="n"/>
      <c r="C140" s="6" t="n"/>
      <c r="D140" s="4" t="n"/>
      <c r="E140" s="4" t="n"/>
      <c r="F140" s="4" t="n"/>
      <c r="G140" s="4" t="n"/>
      <c r="H140" s="4" t="n"/>
      <c r="I140" s="4" t="n"/>
      <c r="J140" s="4" t="n"/>
      <c r="K140" s="4" t="n"/>
      <c r="L140" s="4" t="n"/>
      <c r="M140" s="4" t="n"/>
      <c r="N140" s="6" t="n"/>
      <c r="O140" s="6" t="n"/>
      <c r="P140" s="14">
        <f>IF($B140="","",(E140="Clair")*'Critères et poids'!$G$5+(E140="Partiel")*'Critères et poids'!$G$5/2+(F140="Clair")*'Critères et poids'!$G$6+(F140="Partiel")*'Critères et poids'!$G$6/2+(G140="Clair")*'Critères et poids'!$G$7+(G140="Partiel")*'Critères et poids'!$G$7/2+(H140="Clair")*'Critères et poids'!$G$8+(H140="Partiel")*'Critères et poids'!$G$8/2)</f>
        <v/>
      </c>
      <c r="Q140" s="14">
        <f>IF($B140="","",(I140="Clair")*'Critères et poids'!$G$9+(I140="Partiel")*'Critères et poids'!$G$9/2+(J140="Clair")*'Critères et poids'!$G$10+(J140="Partiel")*'Critères et poids'!$G$10/2+(K140="Clair")*'Critères et poids'!$G$11+(K140="Partiel")*'Critères et poids'!$G$11/2+(L140="Clair")*'Critères et poids'!$G$12+(L140="Partiel")*'Critères et poids'!$G$12/2+(M140="Clair")*'Critères et poids'!$G$13+(M140="Partiel")*'Critères et poids'!$G$13/2)</f>
        <v/>
      </c>
      <c r="R140" s="14">
        <f>IF($B140="","",IFERROR(VLOOKUP(N140,'Critères et poids'!$B$17:$C$20,2,FALSE),0))</f>
        <v/>
      </c>
      <c r="S140" s="9">
        <f>IF($B140="","",MAX(0,P140+Q140+R140))</f>
        <v/>
      </c>
      <c r="T140" s="9">
        <f>IF($B140="","",IF(O140&lt;&gt;"","X",IF(S140&gt;='Critères et poids'!$C$29,"A",IF(S140&gt;='Critères et poids'!$C$30,"B","C"))))</f>
        <v/>
      </c>
      <c r="U140" s="14">
        <f>IF(T140="","",INDEX('Critères et poids'!$D$29:$D$32,MATCH(T140,'Critères et poids'!$A$29:$A$32,0)))</f>
        <v/>
      </c>
      <c r="V140" s="14">
        <f>IF(T140="","",INDEX('Critères et poids'!$F$29:$F$32,MATCH(T140,'Critères et poids'!$A$29:$A$32,0)))</f>
        <v/>
      </c>
      <c r="W140" s="15">
        <f>IF(OR(AH140="",AJ140=""),"",IF(AI140+AJ140*60&lt;=ROUND('Critères et poids'!$C$37*1440,0),INT(AH140)+(AI140+AJ140*60)/1440,WORKDAY(INT(AH140),1+INT((AI140+AJ140*60-ROUND('Critères et poids'!$C$37*1440,0)-1)/(ROUND('Critères et poids'!$C$37*1440,0)-ROUND('Critères et poids'!$C$36*1440,0))))+(ROUND('Critères et poids'!$C$36*1440,0)+AI140+AJ140*60-ROUND('Critères et poids'!$C$37*1440,0)-INT((AI140+AJ140*60-ROUND('Critères et poids'!$C$37*1440,0)-1)/(ROUND('Critères et poids'!$C$37*1440,0)-ROUND('Critères et poids'!$C$36*1440,0)))*(ROUND('Critères et poids'!$C$37*1440,0)-ROUND('Critères et poids'!$C$36*1440,0)))/1440))</f>
        <v/>
      </c>
      <c r="X140" s="16" t="n"/>
      <c r="Y140" s="14">
        <f>IF(W140="","",IF(X140="",IF(NOW()&gt;W140,"En retard","En attente"),IF(X140&lt;=W140,"À temps","En retard")))</f>
        <v/>
      </c>
      <c r="Z140" s="17" t="n"/>
      <c r="AA140" s="14">
        <f>IF($B140="","",IF(OR(T140="X",AD140&lt;&gt;""),0,MAX(0,MIN(Q140,'Critères et poids'!$C$38*INT((TODAY()-IF(Z140&lt;&gt;"",Z140,INT($A140)))/7)))))</f>
        <v/>
      </c>
      <c r="AB140" s="14">
        <f>IF($B140="","",MAX(0,S140-AA140))</f>
        <v/>
      </c>
      <c r="AC140" s="9">
        <f>IF($B140="","",IF(T140="X","X",IF(AB140&gt;='Critères et poids'!$C$29,"A",IF(AB140&gt;='Critères et poids'!$C$30,"B","C"))))</f>
        <v/>
      </c>
      <c r="AD140" s="4" t="n"/>
      <c r="AE140" s="18" t="n"/>
      <c r="AF140" s="6" t="n"/>
      <c r="AH140">
        <f>IF($A140="","",IF(OR(WEEKDAY($A140,2)&gt;5,ROUND(MOD($A140,1)*1440,0)&gt;=ROUND('Critères et poids'!$C$37*1440,0)),WORKDAY(INT($A140),1)+ROUND('Critères et poids'!$C$36*1440,0)/1440,IF(ROUND(MOD($A140,1)*1440,0)&lt;ROUND('Critères et poids'!$C$36*1440,0),INT($A140)+ROUND('Critères et poids'!$C$36*1440,0)/1440,$A140)))</f>
        <v/>
      </c>
      <c r="AI140">
        <f>IF(AH140="","",ROUND(MOD(AH140,1)*1440,0))</f>
        <v/>
      </c>
      <c r="AJ140">
        <f>IF(T140="","",INDEX('Critères et poids'!$E$29:$E$32,MATCH(T140,'Critères et poids'!$A$29:$A$32,0)))</f>
        <v/>
      </c>
    </row>
    <row r="141">
      <c r="A141" s="13" t="n"/>
      <c r="B141" s="6" t="n"/>
      <c r="C141" s="6" t="n"/>
      <c r="D141" s="4" t="n"/>
      <c r="E141" s="4" t="n"/>
      <c r="F141" s="4" t="n"/>
      <c r="G141" s="4" t="n"/>
      <c r="H141" s="4" t="n"/>
      <c r="I141" s="4" t="n"/>
      <c r="J141" s="4" t="n"/>
      <c r="K141" s="4" t="n"/>
      <c r="L141" s="4" t="n"/>
      <c r="M141" s="4" t="n"/>
      <c r="N141" s="6" t="n"/>
      <c r="O141" s="6" t="n"/>
      <c r="P141" s="14">
        <f>IF($B141="","",(E141="Clair")*'Critères et poids'!$G$5+(E141="Partiel")*'Critères et poids'!$G$5/2+(F141="Clair")*'Critères et poids'!$G$6+(F141="Partiel")*'Critères et poids'!$G$6/2+(G141="Clair")*'Critères et poids'!$G$7+(G141="Partiel")*'Critères et poids'!$G$7/2+(H141="Clair")*'Critères et poids'!$G$8+(H141="Partiel")*'Critères et poids'!$G$8/2)</f>
        <v/>
      </c>
      <c r="Q141" s="14">
        <f>IF($B141="","",(I141="Clair")*'Critères et poids'!$G$9+(I141="Partiel")*'Critères et poids'!$G$9/2+(J141="Clair")*'Critères et poids'!$G$10+(J141="Partiel")*'Critères et poids'!$G$10/2+(K141="Clair")*'Critères et poids'!$G$11+(K141="Partiel")*'Critères et poids'!$G$11/2+(L141="Clair")*'Critères et poids'!$G$12+(L141="Partiel")*'Critères et poids'!$G$12/2+(M141="Clair")*'Critères et poids'!$G$13+(M141="Partiel")*'Critères et poids'!$G$13/2)</f>
        <v/>
      </c>
      <c r="R141" s="14">
        <f>IF($B141="","",IFERROR(VLOOKUP(N141,'Critères et poids'!$B$17:$C$20,2,FALSE),0))</f>
        <v/>
      </c>
      <c r="S141" s="9">
        <f>IF($B141="","",MAX(0,P141+Q141+R141))</f>
        <v/>
      </c>
      <c r="T141" s="9">
        <f>IF($B141="","",IF(O141&lt;&gt;"","X",IF(S141&gt;='Critères et poids'!$C$29,"A",IF(S141&gt;='Critères et poids'!$C$30,"B","C"))))</f>
        <v/>
      </c>
      <c r="U141" s="14">
        <f>IF(T141="","",INDEX('Critères et poids'!$D$29:$D$32,MATCH(T141,'Critères et poids'!$A$29:$A$32,0)))</f>
        <v/>
      </c>
      <c r="V141" s="14">
        <f>IF(T141="","",INDEX('Critères et poids'!$F$29:$F$32,MATCH(T141,'Critères et poids'!$A$29:$A$32,0)))</f>
        <v/>
      </c>
      <c r="W141" s="15">
        <f>IF(OR(AH141="",AJ141=""),"",IF(AI141+AJ141*60&lt;=ROUND('Critères et poids'!$C$37*1440,0),INT(AH141)+(AI141+AJ141*60)/1440,WORKDAY(INT(AH141),1+INT((AI141+AJ141*60-ROUND('Critères et poids'!$C$37*1440,0)-1)/(ROUND('Critères et poids'!$C$37*1440,0)-ROUND('Critères et poids'!$C$36*1440,0))))+(ROUND('Critères et poids'!$C$36*1440,0)+AI141+AJ141*60-ROUND('Critères et poids'!$C$37*1440,0)-INT((AI141+AJ141*60-ROUND('Critères et poids'!$C$37*1440,0)-1)/(ROUND('Critères et poids'!$C$37*1440,0)-ROUND('Critères et poids'!$C$36*1440,0)))*(ROUND('Critères et poids'!$C$37*1440,0)-ROUND('Critères et poids'!$C$36*1440,0)))/1440))</f>
        <v/>
      </c>
      <c r="X141" s="16" t="n"/>
      <c r="Y141" s="14">
        <f>IF(W141="","",IF(X141="",IF(NOW()&gt;W141,"En retard","En attente"),IF(X141&lt;=W141,"À temps","En retard")))</f>
        <v/>
      </c>
      <c r="Z141" s="17" t="n"/>
      <c r="AA141" s="14">
        <f>IF($B141="","",IF(OR(T141="X",AD141&lt;&gt;""),0,MAX(0,MIN(Q141,'Critères et poids'!$C$38*INT((TODAY()-IF(Z141&lt;&gt;"",Z141,INT($A141)))/7)))))</f>
        <v/>
      </c>
      <c r="AB141" s="14">
        <f>IF($B141="","",MAX(0,S141-AA141))</f>
        <v/>
      </c>
      <c r="AC141" s="9">
        <f>IF($B141="","",IF(T141="X","X",IF(AB141&gt;='Critères et poids'!$C$29,"A",IF(AB141&gt;='Critères et poids'!$C$30,"B","C"))))</f>
        <v/>
      </c>
      <c r="AD141" s="4" t="n"/>
      <c r="AE141" s="18" t="n"/>
      <c r="AF141" s="6" t="n"/>
      <c r="AH141">
        <f>IF($A141="","",IF(OR(WEEKDAY($A141,2)&gt;5,ROUND(MOD($A141,1)*1440,0)&gt;=ROUND('Critères et poids'!$C$37*1440,0)),WORKDAY(INT($A141),1)+ROUND('Critères et poids'!$C$36*1440,0)/1440,IF(ROUND(MOD($A141,1)*1440,0)&lt;ROUND('Critères et poids'!$C$36*1440,0),INT($A141)+ROUND('Critères et poids'!$C$36*1440,0)/1440,$A141)))</f>
        <v/>
      </c>
      <c r="AI141">
        <f>IF(AH141="","",ROUND(MOD(AH141,1)*1440,0))</f>
        <v/>
      </c>
      <c r="AJ141">
        <f>IF(T141="","",INDEX('Critères et poids'!$E$29:$E$32,MATCH(T141,'Critères et poids'!$A$29:$A$32,0)))</f>
        <v/>
      </c>
    </row>
    <row r="142">
      <c r="A142" s="13" t="n"/>
      <c r="B142" s="6" t="n"/>
      <c r="C142" s="6" t="n"/>
      <c r="D142" s="4" t="n"/>
      <c r="E142" s="4" t="n"/>
      <c r="F142" s="4" t="n"/>
      <c r="G142" s="4" t="n"/>
      <c r="H142" s="4" t="n"/>
      <c r="I142" s="4" t="n"/>
      <c r="J142" s="4" t="n"/>
      <c r="K142" s="4" t="n"/>
      <c r="L142" s="4" t="n"/>
      <c r="M142" s="4" t="n"/>
      <c r="N142" s="6" t="n"/>
      <c r="O142" s="6" t="n"/>
      <c r="P142" s="14">
        <f>IF($B142="","",(E142="Clair")*'Critères et poids'!$G$5+(E142="Partiel")*'Critères et poids'!$G$5/2+(F142="Clair")*'Critères et poids'!$G$6+(F142="Partiel")*'Critères et poids'!$G$6/2+(G142="Clair")*'Critères et poids'!$G$7+(G142="Partiel")*'Critères et poids'!$G$7/2+(H142="Clair")*'Critères et poids'!$G$8+(H142="Partiel")*'Critères et poids'!$G$8/2)</f>
        <v/>
      </c>
      <c r="Q142" s="14">
        <f>IF($B142="","",(I142="Clair")*'Critères et poids'!$G$9+(I142="Partiel")*'Critères et poids'!$G$9/2+(J142="Clair")*'Critères et poids'!$G$10+(J142="Partiel")*'Critères et poids'!$G$10/2+(K142="Clair")*'Critères et poids'!$G$11+(K142="Partiel")*'Critères et poids'!$G$11/2+(L142="Clair")*'Critères et poids'!$G$12+(L142="Partiel")*'Critères et poids'!$G$12/2+(M142="Clair")*'Critères et poids'!$G$13+(M142="Partiel")*'Critères et poids'!$G$13/2)</f>
        <v/>
      </c>
      <c r="R142" s="14">
        <f>IF($B142="","",IFERROR(VLOOKUP(N142,'Critères et poids'!$B$17:$C$20,2,FALSE),0))</f>
        <v/>
      </c>
      <c r="S142" s="9">
        <f>IF($B142="","",MAX(0,P142+Q142+R142))</f>
        <v/>
      </c>
      <c r="T142" s="9">
        <f>IF($B142="","",IF(O142&lt;&gt;"","X",IF(S142&gt;='Critères et poids'!$C$29,"A",IF(S142&gt;='Critères et poids'!$C$30,"B","C"))))</f>
        <v/>
      </c>
      <c r="U142" s="14">
        <f>IF(T142="","",INDEX('Critères et poids'!$D$29:$D$32,MATCH(T142,'Critères et poids'!$A$29:$A$32,0)))</f>
        <v/>
      </c>
      <c r="V142" s="14">
        <f>IF(T142="","",INDEX('Critères et poids'!$F$29:$F$32,MATCH(T142,'Critères et poids'!$A$29:$A$32,0)))</f>
        <v/>
      </c>
      <c r="W142" s="15">
        <f>IF(OR(AH142="",AJ142=""),"",IF(AI142+AJ142*60&lt;=ROUND('Critères et poids'!$C$37*1440,0),INT(AH142)+(AI142+AJ142*60)/1440,WORKDAY(INT(AH142),1+INT((AI142+AJ142*60-ROUND('Critères et poids'!$C$37*1440,0)-1)/(ROUND('Critères et poids'!$C$37*1440,0)-ROUND('Critères et poids'!$C$36*1440,0))))+(ROUND('Critères et poids'!$C$36*1440,0)+AI142+AJ142*60-ROUND('Critères et poids'!$C$37*1440,0)-INT((AI142+AJ142*60-ROUND('Critères et poids'!$C$37*1440,0)-1)/(ROUND('Critères et poids'!$C$37*1440,0)-ROUND('Critères et poids'!$C$36*1440,0)))*(ROUND('Critères et poids'!$C$37*1440,0)-ROUND('Critères et poids'!$C$36*1440,0)))/1440))</f>
        <v/>
      </c>
      <c r="X142" s="16" t="n"/>
      <c r="Y142" s="14">
        <f>IF(W142="","",IF(X142="",IF(NOW()&gt;W142,"En retard","En attente"),IF(X142&lt;=W142,"À temps","En retard")))</f>
        <v/>
      </c>
      <c r="Z142" s="17" t="n"/>
      <c r="AA142" s="14">
        <f>IF($B142="","",IF(OR(T142="X",AD142&lt;&gt;""),0,MAX(0,MIN(Q142,'Critères et poids'!$C$38*INT((TODAY()-IF(Z142&lt;&gt;"",Z142,INT($A142)))/7)))))</f>
        <v/>
      </c>
      <c r="AB142" s="14">
        <f>IF($B142="","",MAX(0,S142-AA142))</f>
        <v/>
      </c>
      <c r="AC142" s="9">
        <f>IF($B142="","",IF(T142="X","X",IF(AB142&gt;='Critères et poids'!$C$29,"A",IF(AB142&gt;='Critères et poids'!$C$30,"B","C"))))</f>
        <v/>
      </c>
      <c r="AD142" s="4" t="n"/>
      <c r="AE142" s="18" t="n"/>
      <c r="AF142" s="6" t="n"/>
      <c r="AH142">
        <f>IF($A142="","",IF(OR(WEEKDAY($A142,2)&gt;5,ROUND(MOD($A142,1)*1440,0)&gt;=ROUND('Critères et poids'!$C$37*1440,0)),WORKDAY(INT($A142),1)+ROUND('Critères et poids'!$C$36*1440,0)/1440,IF(ROUND(MOD($A142,1)*1440,0)&lt;ROUND('Critères et poids'!$C$36*1440,0),INT($A142)+ROUND('Critères et poids'!$C$36*1440,0)/1440,$A142)))</f>
        <v/>
      </c>
      <c r="AI142">
        <f>IF(AH142="","",ROUND(MOD(AH142,1)*1440,0))</f>
        <v/>
      </c>
      <c r="AJ142">
        <f>IF(T142="","",INDEX('Critères et poids'!$E$29:$E$32,MATCH(T142,'Critères et poids'!$A$29:$A$32,0)))</f>
        <v/>
      </c>
    </row>
    <row r="143">
      <c r="A143" s="13" t="n"/>
      <c r="B143" s="6" t="n"/>
      <c r="C143" s="6" t="n"/>
      <c r="D143" s="4" t="n"/>
      <c r="E143" s="4" t="n"/>
      <c r="F143" s="4" t="n"/>
      <c r="G143" s="4" t="n"/>
      <c r="H143" s="4" t="n"/>
      <c r="I143" s="4" t="n"/>
      <c r="J143" s="4" t="n"/>
      <c r="K143" s="4" t="n"/>
      <c r="L143" s="4" t="n"/>
      <c r="M143" s="4" t="n"/>
      <c r="N143" s="6" t="n"/>
      <c r="O143" s="6" t="n"/>
      <c r="P143" s="14">
        <f>IF($B143="","",(E143="Clair")*'Critères et poids'!$G$5+(E143="Partiel")*'Critères et poids'!$G$5/2+(F143="Clair")*'Critères et poids'!$G$6+(F143="Partiel")*'Critères et poids'!$G$6/2+(G143="Clair")*'Critères et poids'!$G$7+(G143="Partiel")*'Critères et poids'!$G$7/2+(H143="Clair")*'Critères et poids'!$G$8+(H143="Partiel")*'Critères et poids'!$G$8/2)</f>
        <v/>
      </c>
      <c r="Q143" s="14">
        <f>IF($B143="","",(I143="Clair")*'Critères et poids'!$G$9+(I143="Partiel")*'Critères et poids'!$G$9/2+(J143="Clair")*'Critères et poids'!$G$10+(J143="Partiel")*'Critères et poids'!$G$10/2+(K143="Clair")*'Critères et poids'!$G$11+(K143="Partiel")*'Critères et poids'!$G$11/2+(L143="Clair")*'Critères et poids'!$G$12+(L143="Partiel")*'Critères et poids'!$G$12/2+(M143="Clair")*'Critères et poids'!$G$13+(M143="Partiel")*'Critères et poids'!$G$13/2)</f>
        <v/>
      </c>
      <c r="R143" s="14">
        <f>IF($B143="","",IFERROR(VLOOKUP(N143,'Critères et poids'!$B$17:$C$20,2,FALSE),0))</f>
        <v/>
      </c>
      <c r="S143" s="9">
        <f>IF($B143="","",MAX(0,P143+Q143+R143))</f>
        <v/>
      </c>
      <c r="T143" s="9">
        <f>IF($B143="","",IF(O143&lt;&gt;"","X",IF(S143&gt;='Critères et poids'!$C$29,"A",IF(S143&gt;='Critères et poids'!$C$30,"B","C"))))</f>
        <v/>
      </c>
      <c r="U143" s="14">
        <f>IF(T143="","",INDEX('Critères et poids'!$D$29:$D$32,MATCH(T143,'Critères et poids'!$A$29:$A$32,0)))</f>
        <v/>
      </c>
      <c r="V143" s="14">
        <f>IF(T143="","",INDEX('Critères et poids'!$F$29:$F$32,MATCH(T143,'Critères et poids'!$A$29:$A$32,0)))</f>
        <v/>
      </c>
      <c r="W143" s="15">
        <f>IF(OR(AH143="",AJ143=""),"",IF(AI143+AJ143*60&lt;=ROUND('Critères et poids'!$C$37*1440,0),INT(AH143)+(AI143+AJ143*60)/1440,WORKDAY(INT(AH143),1+INT((AI143+AJ143*60-ROUND('Critères et poids'!$C$37*1440,0)-1)/(ROUND('Critères et poids'!$C$37*1440,0)-ROUND('Critères et poids'!$C$36*1440,0))))+(ROUND('Critères et poids'!$C$36*1440,0)+AI143+AJ143*60-ROUND('Critères et poids'!$C$37*1440,0)-INT((AI143+AJ143*60-ROUND('Critères et poids'!$C$37*1440,0)-1)/(ROUND('Critères et poids'!$C$37*1440,0)-ROUND('Critères et poids'!$C$36*1440,0)))*(ROUND('Critères et poids'!$C$37*1440,0)-ROUND('Critères et poids'!$C$36*1440,0)))/1440))</f>
        <v/>
      </c>
      <c r="X143" s="16" t="n"/>
      <c r="Y143" s="14">
        <f>IF(W143="","",IF(X143="",IF(NOW()&gt;W143,"En retard","En attente"),IF(X143&lt;=W143,"À temps","En retard")))</f>
        <v/>
      </c>
      <c r="Z143" s="17" t="n"/>
      <c r="AA143" s="14">
        <f>IF($B143="","",IF(OR(T143="X",AD143&lt;&gt;""),0,MAX(0,MIN(Q143,'Critères et poids'!$C$38*INT((TODAY()-IF(Z143&lt;&gt;"",Z143,INT($A143)))/7)))))</f>
        <v/>
      </c>
      <c r="AB143" s="14">
        <f>IF($B143="","",MAX(0,S143-AA143))</f>
        <v/>
      </c>
      <c r="AC143" s="9">
        <f>IF($B143="","",IF(T143="X","X",IF(AB143&gt;='Critères et poids'!$C$29,"A",IF(AB143&gt;='Critères et poids'!$C$30,"B","C"))))</f>
        <v/>
      </c>
      <c r="AD143" s="4" t="n"/>
      <c r="AE143" s="18" t="n"/>
      <c r="AF143" s="6" t="n"/>
      <c r="AH143">
        <f>IF($A143="","",IF(OR(WEEKDAY($A143,2)&gt;5,ROUND(MOD($A143,1)*1440,0)&gt;=ROUND('Critères et poids'!$C$37*1440,0)),WORKDAY(INT($A143),1)+ROUND('Critères et poids'!$C$36*1440,0)/1440,IF(ROUND(MOD($A143,1)*1440,0)&lt;ROUND('Critères et poids'!$C$36*1440,0),INT($A143)+ROUND('Critères et poids'!$C$36*1440,0)/1440,$A143)))</f>
        <v/>
      </c>
      <c r="AI143">
        <f>IF(AH143="","",ROUND(MOD(AH143,1)*1440,0))</f>
        <v/>
      </c>
      <c r="AJ143">
        <f>IF(T143="","",INDEX('Critères et poids'!$E$29:$E$32,MATCH(T143,'Critères et poids'!$A$29:$A$32,0)))</f>
        <v/>
      </c>
    </row>
    <row r="144">
      <c r="A144" s="13" t="n"/>
      <c r="B144" s="6" t="n"/>
      <c r="C144" s="6" t="n"/>
      <c r="D144" s="4" t="n"/>
      <c r="E144" s="4" t="n"/>
      <c r="F144" s="4" t="n"/>
      <c r="G144" s="4" t="n"/>
      <c r="H144" s="4" t="n"/>
      <c r="I144" s="4" t="n"/>
      <c r="J144" s="4" t="n"/>
      <c r="K144" s="4" t="n"/>
      <c r="L144" s="4" t="n"/>
      <c r="M144" s="4" t="n"/>
      <c r="N144" s="6" t="n"/>
      <c r="O144" s="6" t="n"/>
      <c r="P144" s="14">
        <f>IF($B144="","",(E144="Clair")*'Critères et poids'!$G$5+(E144="Partiel")*'Critères et poids'!$G$5/2+(F144="Clair")*'Critères et poids'!$G$6+(F144="Partiel")*'Critères et poids'!$G$6/2+(G144="Clair")*'Critères et poids'!$G$7+(G144="Partiel")*'Critères et poids'!$G$7/2+(H144="Clair")*'Critères et poids'!$G$8+(H144="Partiel")*'Critères et poids'!$G$8/2)</f>
        <v/>
      </c>
      <c r="Q144" s="14">
        <f>IF($B144="","",(I144="Clair")*'Critères et poids'!$G$9+(I144="Partiel")*'Critères et poids'!$G$9/2+(J144="Clair")*'Critères et poids'!$G$10+(J144="Partiel")*'Critères et poids'!$G$10/2+(K144="Clair")*'Critères et poids'!$G$11+(K144="Partiel")*'Critères et poids'!$G$11/2+(L144="Clair")*'Critères et poids'!$G$12+(L144="Partiel")*'Critères et poids'!$G$12/2+(M144="Clair")*'Critères et poids'!$G$13+(M144="Partiel")*'Critères et poids'!$G$13/2)</f>
        <v/>
      </c>
      <c r="R144" s="14">
        <f>IF($B144="","",IFERROR(VLOOKUP(N144,'Critères et poids'!$B$17:$C$20,2,FALSE),0))</f>
        <v/>
      </c>
      <c r="S144" s="9">
        <f>IF($B144="","",MAX(0,P144+Q144+R144))</f>
        <v/>
      </c>
      <c r="T144" s="9">
        <f>IF($B144="","",IF(O144&lt;&gt;"","X",IF(S144&gt;='Critères et poids'!$C$29,"A",IF(S144&gt;='Critères et poids'!$C$30,"B","C"))))</f>
        <v/>
      </c>
      <c r="U144" s="14">
        <f>IF(T144="","",INDEX('Critères et poids'!$D$29:$D$32,MATCH(T144,'Critères et poids'!$A$29:$A$32,0)))</f>
        <v/>
      </c>
      <c r="V144" s="14">
        <f>IF(T144="","",INDEX('Critères et poids'!$F$29:$F$32,MATCH(T144,'Critères et poids'!$A$29:$A$32,0)))</f>
        <v/>
      </c>
      <c r="W144" s="15">
        <f>IF(OR(AH144="",AJ144=""),"",IF(AI144+AJ144*60&lt;=ROUND('Critères et poids'!$C$37*1440,0),INT(AH144)+(AI144+AJ144*60)/1440,WORKDAY(INT(AH144),1+INT((AI144+AJ144*60-ROUND('Critères et poids'!$C$37*1440,0)-1)/(ROUND('Critères et poids'!$C$37*1440,0)-ROUND('Critères et poids'!$C$36*1440,0))))+(ROUND('Critères et poids'!$C$36*1440,0)+AI144+AJ144*60-ROUND('Critères et poids'!$C$37*1440,0)-INT((AI144+AJ144*60-ROUND('Critères et poids'!$C$37*1440,0)-1)/(ROUND('Critères et poids'!$C$37*1440,0)-ROUND('Critères et poids'!$C$36*1440,0)))*(ROUND('Critères et poids'!$C$37*1440,0)-ROUND('Critères et poids'!$C$36*1440,0)))/1440))</f>
        <v/>
      </c>
      <c r="X144" s="16" t="n"/>
      <c r="Y144" s="14">
        <f>IF(W144="","",IF(X144="",IF(NOW()&gt;W144,"En retard","En attente"),IF(X144&lt;=W144,"À temps","En retard")))</f>
        <v/>
      </c>
      <c r="Z144" s="17" t="n"/>
      <c r="AA144" s="14">
        <f>IF($B144="","",IF(OR(T144="X",AD144&lt;&gt;""),0,MAX(0,MIN(Q144,'Critères et poids'!$C$38*INT((TODAY()-IF(Z144&lt;&gt;"",Z144,INT($A144)))/7)))))</f>
        <v/>
      </c>
      <c r="AB144" s="14">
        <f>IF($B144="","",MAX(0,S144-AA144))</f>
        <v/>
      </c>
      <c r="AC144" s="9">
        <f>IF($B144="","",IF(T144="X","X",IF(AB144&gt;='Critères et poids'!$C$29,"A",IF(AB144&gt;='Critères et poids'!$C$30,"B","C"))))</f>
        <v/>
      </c>
      <c r="AD144" s="4" t="n"/>
      <c r="AE144" s="18" t="n"/>
      <c r="AF144" s="6" t="n"/>
      <c r="AH144">
        <f>IF($A144="","",IF(OR(WEEKDAY($A144,2)&gt;5,ROUND(MOD($A144,1)*1440,0)&gt;=ROUND('Critères et poids'!$C$37*1440,0)),WORKDAY(INT($A144),1)+ROUND('Critères et poids'!$C$36*1440,0)/1440,IF(ROUND(MOD($A144,1)*1440,0)&lt;ROUND('Critères et poids'!$C$36*1440,0),INT($A144)+ROUND('Critères et poids'!$C$36*1440,0)/1440,$A144)))</f>
        <v/>
      </c>
      <c r="AI144">
        <f>IF(AH144="","",ROUND(MOD(AH144,1)*1440,0))</f>
        <v/>
      </c>
      <c r="AJ144">
        <f>IF(T144="","",INDEX('Critères et poids'!$E$29:$E$32,MATCH(T144,'Critères et poids'!$A$29:$A$32,0)))</f>
        <v/>
      </c>
    </row>
    <row r="145">
      <c r="A145" s="13" t="n"/>
      <c r="B145" s="6" t="n"/>
      <c r="C145" s="6" t="n"/>
      <c r="D145" s="4" t="n"/>
      <c r="E145" s="4" t="n"/>
      <c r="F145" s="4" t="n"/>
      <c r="G145" s="4" t="n"/>
      <c r="H145" s="4" t="n"/>
      <c r="I145" s="4" t="n"/>
      <c r="J145" s="4" t="n"/>
      <c r="K145" s="4" t="n"/>
      <c r="L145" s="4" t="n"/>
      <c r="M145" s="4" t="n"/>
      <c r="N145" s="6" t="n"/>
      <c r="O145" s="6" t="n"/>
      <c r="P145" s="14">
        <f>IF($B145="","",(E145="Clair")*'Critères et poids'!$G$5+(E145="Partiel")*'Critères et poids'!$G$5/2+(F145="Clair")*'Critères et poids'!$G$6+(F145="Partiel")*'Critères et poids'!$G$6/2+(G145="Clair")*'Critères et poids'!$G$7+(G145="Partiel")*'Critères et poids'!$G$7/2+(H145="Clair")*'Critères et poids'!$G$8+(H145="Partiel")*'Critères et poids'!$G$8/2)</f>
        <v/>
      </c>
      <c r="Q145" s="14">
        <f>IF($B145="","",(I145="Clair")*'Critères et poids'!$G$9+(I145="Partiel")*'Critères et poids'!$G$9/2+(J145="Clair")*'Critères et poids'!$G$10+(J145="Partiel")*'Critères et poids'!$G$10/2+(K145="Clair")*'Critères et poids'!$G$11+(K145="Partiel")*'Critères et poids'!$G$11/2+(L145="Clair")*'Critères et poids'!$G$12+(L145="Partiel")*'Critères et poids'!$G$12/2+(M145="Clair")*'Critères et poids'!$G$13+(M145="Partiel")*'Critères et poids'!$G$13/2)</f>
        <v/>
      </c>
      <c r="R145" s="14">
        <f>IF($B145="","",IFERROR(VLOOKUP(N145,'Critères et poids'!$B$17:$C$20,2,FALSE),0))</f>
        <v/>
      </c>
      <c r="S145" s="9">
        <f>IF($B145="","",MAX(0,P145+Q145+R145))</f>
        <v/>
      </c>
      <c r="T145" s="9">
        <f>IF($B145="","",IF(O145&lt;&gt;"","X",IF(S145&gt;='Critères et poids'!$C$29,"A",IF(S145&gt;='Critères et poids'!$C$30,"B","C"))))</f>
        <v/>
      </c>
      <c r="U145" s="14">
        <f>IF(T145="","",INDEX('Critères et poids'!$D$29:$D$32,MATCH(T145,'Critères et poids'!$A$29:$A$32,0)))</f>
        <v/>
      </c>
      <c r="V145" s="14">
        <f>IF(T145="","",INDEX('Critères et poids'!$F$29:$F$32,MATCH(T145,'Critères et poids'!$A$29:$A$32,0)))</f>
        <v/>
      </c>
      <c r="W145" s="15">
        <f>IF(OR(AH145="",AJ145=""),"",IF(AI145+AJ145*60&lt;=ROUND('Critères et poids'!$C$37*1440,0),INT(AH145)+(AI145+AJ145*60)/1440,WORKDAY(INT(AH145),1+INT((AI145+AJ145*60-ROUND('Critères et poids'!$C$37*1440,0)-1)/(ROUND('Critères et poids'!$C$37*1440,0)-ROUND('Critères et poids'!$C$36*1440,0))))+(ROUND('Critères et poids'!$C$36*1440,0)+AI145+AJ145*60-ROUND('Critères et poids'!$C$37*1440,0)-INT((AI145+AJ145*60-ROUND('Critères et poids'!$C$37*1440,0)-1)/(ROUND('Critères et poids'!$C$37*1440,0)-ROUND('Critères et poids'!$C$36*1440,0)))*(ROUND('Critères et poids'!$C$37*1440,0)-ROUND('Critères et poids'!$C$36*1440,0)))/1440))</f>
        <v/>
      </c>
      <c r="X145" s="16" t="n"/>
      <c r="Y145" s="14">
        <f>IF(W145="","",IF(X145="",IF(NOW()&gt;W145,"En retard","En attente"),IF(X145&lt;=W145,"À temps","En retard")))</f>
        <v/>
      </c>
      <c r="Z145" s="17" t="n"/>
      <c r="AA145" s="14">
        <f>IF($B145="","",IF(OR(T145="X",AD145&lt;&gt;""),0,MAX(0,MIN(Q145,'Critères et poids'!$C$38*INT((TODAY()-IF(Z145&lt;&gt;"",Z145,INT($A145)))/7)))))</f>
        <v/>
      </c>
      <c r="AB145" s="14">
        <f>IF($B145="","",MAX(0,S145-AA145))</f>
        <v/>
      </c>
      <c r="AC145" s="9">
        <f>IF($B145="","",IF(T145="X","X",IF(AB145&gt;='Critères et poids'!$C$29,"A",IF(AB145&gt;='Critères et poids'!$C$30,"B","C"))))</f>
        <v/>
      </c>
      <c r="AD145" s="4" t="n"/>
      <c r="AE145" s="18" t="n"/>
      <c r="AF145" s="6" t="n"/>
      <c r="AH145">
        <f>IF($A145="","",IF(OR(WEEKDAY($A145,2)&gt;5,ROUND(MOD($A145,1)*1440,0)&gt;=ROUND('Critères et poids'!$C$37*1440,0)),WORKDAY(INT($A145),1)+ROUND('Critères et poids'!$C$36*1440,0)/1440,IF(ROUND(MOD($A145,1)*1440,0)&lt;ROUND('Critères et poids'!$C$36*1440,0),INT($A145)+ROUND('Critères et poids'!$C$36*1440,0)/1440,$A145)))</f>
        <v/>
      </c>
      <c r="AI145">
        <f>IF(AH145="","",ROUND(MOD(AH145,1)*1440,0))</f>
        <v/>
      </c>
      <c r="AJ145">
        <f>IF(T145="","",INDEX('Critères et poids'!$E$29:$E$32,MATCH(T145,'Critères et poids'!$A$29:$A$32,0)))</f>
        <v/>
      </c>
    </row>
    <row r="146">
      <c r="A146" s="13" t="n"/>
      <c r="B146" s="6" t="n"/>
      <c r="C146" s="6" t="n"/>
      <c r="D146" s="4" t="n"/>
      <c r="E146" s="4" t="n"/>
      <c r="F146" s="4" t="n"/>
      <c r="G146" s="4" t="n"/>
      <c r="H146" s="4" t="n"/>
      <c r="I146" s="4" t="n"/>
      <c r="J146" s="4" t="n"/>
      <c r="K146" s="4" t="n"/>
      <c r="L146" s="4" t="n"/>
      <c r="M146" s="4" t="n"/>
      <c r="N146" s="6" t="n"/>
      <c r="O146" s="6" t="n"/>
      <c r="P146" s="14">
        <f>IF($B146="","",(E146="Clair")*'Critères et poids'!$G$5+(E146="Partiel")*'Critères et poids'!$G$5/2+(F146="Clair")*'Critères et poids'!$G$6+(F146="Partiel")*'Critères et poids'!$G$6/2+(G146="Clair")*'Critères et poids'!$G$7+(G146="Partiel")*'Critères et poids'!$G$7/2+(H146="Clair")*'Critères et poids'!$G$8+(H146="Partiel")*'Critères et poids'!$G$8/2)</f>
        <v/>
      </c>
      <c r="Q146" s="14">
        <f>IF($B146="","",(I146="Clair")*'Critères et poids'!$G$9+(I146="Partiel")*'Critères et poids'!$G$9/2+(J146="Clair")*'Critères et poids'!$G$10+(J146="Partiel")*'Critères et poids'!$G$10/2+(K146="Clair")*'Critères et poids'!$G$11+(K146="Partiel")*'Critères et poids'!$G$11/2+(L146="Clair")*'Critères et poids'!$G$12+(L146="Partiel")*'Critères et poids'!$G$12/2+(M146="Clair")*'Critères et poids'!$G$13+(M146="Partiel")*'Critères et poids'!$G$13/2)</f>
        <v/>
      </c>
      <c r="R146" s="14">
        <f>IF($B146="","",IFERROR(VLOOKUP(N146,'Critères et poids'!$B$17:$C$20,2,FALSE),0))</f>
        <v/>
      </c>
      <c r="S146" s="9">
        <f>IF($B146="","",MAX(0,P146+Q146+R146))</f>
        <v/>
      </c>
      <c r="T146" s="9">
        <f>IF($B146="","",IF(O146&lt;&gt;"","X",IF(S146&gt;='Critères et poids'!$C$29,"A",IF(S146&gt;='Critères et poids'!$C$30,"B","C"))))</f>
        <v/>
      </c>
      <c r="U146" s="14">
        <f>IF(T146="","",INDEX('Critères et poids'!$D$29:$D$32,MATCH(T146,'Critères et poids'!$A$29:$A$32,0)))</f>
        <v/>
      </c>
      <c r="V146" s="14">
        <f>IF(T146="","",INDEX('Critères et poids'!$F$29:$F$32,MATCH(T146,'Critères et poids'!$A$29:$A$32,0)))</f>
        <v/>
      </c>
      <c r="W146" s="15">
        <f>IF(OR(AH146="",AJ146=""),"",IF(AI146+AJ146*60&lt;=ROUND('Critères et poids'!$C$37*1440,0),INT(AH146)+(AI146+AJ146*60)/1440,WORKDAY(INT(AH146),1+INT((AI146+AJ146*60-ROUND('Critères et poids'!$C$37*1440,0)-1)/(ROUND('Critères et poids'!$C$37*1440,0)-ROUND('Critères et poids'!$C$36*1440,0))))+(ROUND('Critères et poids'!$C$36*1440,0)+AI146+AJ146*60-ROUND('Critères et poids'!$C$37*1440,0)-INT((AI146+AJ146*60-ROUND('Critères et poids'!$C$37*1440,0)-1)/(ROUND('Critères et poids'!$C$37*1440,0)-ROUND('Critères et poids'!$C$36*1440,0)))*(ROUND('Critères et poids'!$C$37*1440,0)-ROUND('Critères et poids'!$C$36*1440,0)))/1440))</f>
        <v/>
      </c>
      <c r="X146" s="16" t="n"/>
      <c r="Y146" s="14">
        <f>IF(W146="","",IF(X146="",IF(NOW()&gt;W146,"En retard","En attente"),IF(X146&lt;=W146,"À temps","En retard")))</f>
        <v/>
      </c>
      <c r="Z146" s="17" t="n"/>
      <c r="AA146" s="14">
        <f>IF($B146="","",IF(OR(T146="X",AD146&lt;&gt;""),0,MAX(0,MIN(Q146,'Critères et poids'!$C$38*INT((TODAY()-IF(Z146&lt;&gt;"",Z146,INT($A146)))/7)))))</f>
        <v/>
      </c>
      <c r="AB146" s="14">
        <f>IF($B146="","",MAX(0,S146-AA146))</f>
        <v/>
      </c>
      <c r="AC146" s="9">
        <f>IF($B146="","",IF(T146="X","X",IF(AB146&gt;='Critères et poids'!$C$29,"A",IF(AB146&gt;='Critères et poids'!$C$30,"B","C"))))</f>
        <v/>
      </c>
      <c r="AD146" s="4" t="n"/>
      <c r="AE146" s="18" t="n"/>
      <c r="AF146" s="6" t="n"/>
      <c r="AH146">
        <f>IF($A146="","",IF(OR(WEEKDAY($A146,2)&gt;5,ROUND(MOD($A146,1)*1440,0)&gt;=ROUND('Critères et poids'!$C$37*1440,0)),WORKDAY(INT($A146),1)+ROUND('Critères et poids'!$C$36*1440,0)/1440,IF(ROUND(MOD($A146,1)*1440,0)&lt;ROUND('Critères et poids'!$C$36*1440,0),INT($A146)+ROUND('Critères et poids'!$C$36*1440,0)/1440,$A146)))</f>
        <v/>
      </c>
      <c r="AI146">
        <f>IF(AH146="","",ROUND(MOD(AH146,1)*1440,0))</f>
        <v/>
      </c>
      <c r="AJ146">
        <f>IF(T146="","",INDEX('Critères et poids'!$E$29:$E$32,MATCH(T146,'Critères et poids'!$A$29:$A$32,0)))</f>
        <v/>
      </c>
    </row>
    <row r="147">
      <c r="A147" s="13" t="n"/>
      <c r="B147" s="6" t="n"/>
      <c r="C147" s="6" t="n"/>
      <c r="D147" s="4" t="n"/>
      <c r="E147" s="4" t="n"/>
      <c r="F147" s="4" t="n"/>
      <c r="G147" s="4" t="n"/>
      <c r="H147" s="4" t="n"/>
      <c r="I147" s="4" t="n"/>
      <c r="J147" s="4" t="n"/>
      <c r="K147" s="4" t="n"/>
      <c r="L147" s="4" t="n"/>
      <c r="M147" s="4" t="n"/>
      <c r="N147" s="6" t="n"/>
      <c r="O147" s="6" t="n"/>
      <c r="P147" s="14">
        <f>IF($B147="","",(E147="Clair")*'Critères et poids'!$G$5+(E147="Partiel")*'Critères et poids'!$G$5/2+(F147="Clair")*'Critères et poids'!$G$6+(F147="Partiel")*'Critères et poids'!$G$6/2+(G147="Clair")*'Critères et poids'!$G$7+(G147="Partiel")*'Critères et poids'!$G$7/2+(H147="Clair")*'Critères et poids'!$G$8+(H147="Partiel")*'Critères et poids'!$G$8/2)</f>
        <v/>
      </c>
      <c r="Q147" s="14">
        <f>IF($B147="","",(I147="Clair")*'Critères et poids'!$G$9+(I147="Partiel")*'Critères et poids'!$G$9/2+(J147="Clair")*'Critères et poids'!$G$10+(J147="Partiel")*'Critères et poids'!$G$10/2+(K147="Clair")*'Critères et poids'!$G$11+(K147="Partiel")*'Critères et poids'!$G$11/2+(L147="Clair")*'Critères et poids'!$G$12+(L147="Partiel")*'Critères et poids'!$G$12/2+(M147="Clair")*'Critères et poids'!$G$13+(M147="Partiel")*'Critères et poids'!$G$13/2)</f>
        <v/>
      </c>
      <c r="R147" s="14">
        <f>IF($B147="","",IFERROR(VLOOKUP(N147,'Critères et poids'!$B$17:$C$20,2,FALSE),0))</f>
        <v/>
      </c>
      <c r="S147" s="9">
        <f>IF($B147="","",MAX(0,P147+Q147+R147))</f>
        <v/>
      </c>
      <c r="T147" s="9">
        <f>IF($B147="","",IF(O147&lt;&gt;"","X",IF(S147&gt;='Critères et poids'!$C$29,"A",IF(S147&gt;='Critères et poids'!$C$30,"B","C"))))</f>
        <v/>
      </c>
      <c r="U147" s="14">
        <f>IF(T147="","",INDEX('Critères et poids'!$D$29:$D$32,MATCH(T147,'Critères et poids'!$A$29:$A$32,0)))</f>
        <v/>
      </c>
      <c r="V147" s="14">
        <f>IF(T147="","",INDEX('Critères et poids'!$F$29:$F$32,MATCH(T147,'Critères et poids'!$A$29:$A$32,0)))</f>
        <v/>
      </c>
      <c r="W147" s="15">
        <f>IF(OR(AH147="",AJ147=""),"",IF(AI147+AJ147*60&lt;=ROUND('Critères et poids'!$C$37*1440,0),INT(AH147)+(AI147+AJ147*60)/1440,WORKDAY(INT(AH147),1+INT((AI147+AJ147*60-ROUND('Critères et poids'!$C$37*1440,0)-1)/(ROUND('Critères et poids'!$C$37*1440,0)-ROUND('Critères et poids'!$C$36*1440,0))))+(ROUND('Critères et poids'!$C$36*1440,0)+AI147+AJ147*60-ROUND('Critères et poids'!$C$37*1440,0)-INT((AI147+AJ147*60-ROUND('Critères et poids'!$C$37*1440,0)-1)/(ROUND('Critères et poids'!$C$37*1440,0)-ROUND('Critères et poids'!$C$36*1440,0)))*(ROUND('Critères et poids'!$C$37*1440,0)-ROUND('Critères et poids'!$C$36*1440,0)))/1440))</f>
        <v/>
      </c>
      <c r="X147" s="16" t="n"/>
      <c r="Y147" s="14">
        <f>IF(W147="","",IF(X147="",IF(NOW()&gt;W147,"En retard","En attente"),IF(X147&lt;=W147,"À temps","En retard")))</f>
        <v/>
      </c>
      <c r="Z147" s="17" t="n"/>
      <c r="AA147" s="14">
        <f>IF($B147="","",IF(OR(T147="X",AD147&lt;&gt;""),0,MAX(0,MIN(Q147,'Critères et poids'!$C$38*INT((TODAY()-IF(Z147&lt;&gt;"",Z147,INT($A147)))/7)))))</f>
        <v/>
      </c>
      <c r="AB147" s="14">
        <f>IF($B147="","",MAX(0,S147-AA147))</f>
        <v/>
      </c>
      <c r="AC147" s="9">
        <f>IF($B147="","",IF(T147="X","X",IF(AB147&gt;='Critères et poids'!$C$29,"A",IF(AB147&gt;='Critères et poids'!$C$30,"B","C"))))</f>
        <v/>
      </c>
      <c r="AD147" s="4" t="n"/>
      <c r="AE147" s="18" t="n"/>
      <c r="AF147" s="6" t="n"/>
      <c r="AH147">
        <f>IF($A147="","",IF(OR(WEEKDAY($A147,2)&gt;5,ROUND(MOD($A147,1)*1440,0)&gt;=ROUND('Critères et poids'!$C$37*1440,0)),WORKDAY(INT($A147),1)+ROUND('Critères et poids'!$C$36*1440,0)/1440,IF(ROUND(MOD($A147,1)*1440,0)&lt;ROUND('Critères et poids'!$C$36*1440,0),INT($A147)+ROUND('Critères et poids'!$C$36*1440,0)/1440,$A147)))</f>
        <v/>
      </c>
      <c r="AI147">
        <f>IF(AH147="","",ROUND(MOD(AH147,1)*1440,0))</f>
        <v/>
      </c>
      <c r="AJ147">
        <f>IF(T147="","",INDEX('Critères et poids'!$E$29:$E$32,MATCH(T147,'Critères et poids'!$A$29:$A$32,0)))</f>
        <v/>
      </c>
    </row>
    <row r="148">
      <c r="A148" s="13" t="n"/>
      <c r="B148" s="6" t="n"/>
      <c r="C148" s="6" t="n"/>
      <c r="D148" s="4" t="n"/>
      <c r="E148" s="4" t="n"/>
      <c r="F148" s="4" t="n"/>
      <c r="G148" s="4" t="n"/>
      <c r="H148" s="4" t="n"/>
      <c r="I148" s="4" t="n"/>
      <c r="J148" s="4" t="n"/>
      <c r="K148" s="4" t="n"/>
      <c r="L148" s="4" t="n"/>
      <c r="M148" s="4" t="n"/>
      <c r="N148" s="6" t="n"/>
      <c r="O148" s="6" t="n"/>
      <c r="P148" s="14">
        <f>IF($B148="","",(E148="Clair")*'Critères et poids'!$G$5+(E148="Partiel")*'Critères et poids'!$G$5/2+(F148="Clair")*'Critères et poids'!$G$6+(F148="Partiel")*'Critères et poids'!$G$6/2+(G148="Clair")*'Critères et poids'!$G$7+(G148="Partiel")*'Critères et poids'!$G$7/2+(H148="Clair")*'Critères et poids'!$G$8+(H148="Partiel")*'Critères et poids'!$G$8/2)</f>
        <v/>
      </c>
      <c r="Q148" s="14">
        <f>IF($B148="","",(I148="Clair")*'Critères et poids'!$G$9+(I148="Partiel")*'Critères et poids'!$G$9/2+(J148="Clair")*'Critères et poids'!$G$10+(J148="Partiel")*'Critères et poids'!$G$10/2+(K148="Clair")*'Critères et poids'!$G$11+(K148="Partiel")*'Critères et poids'!$G$11/2+(L148="Clair")*'Critères et poids'!$G$12+(L148="Partiel")*'Critères et poids'!$G$12/2+(M148="Clair")*'Critères et poids'!$G$13+(M148="Partiel")*'Critères et poids'!$G$13/2)</f>
        <v/>
      </c>
      <c r="R148" s="14">
        <f>IF($B148="","",IFERROR(VLOOKUP(N148,'Critères et poids'!$B$17:$C$20,2,FALSE),0))</f>
        <v/>
      </c>
      <c r="S148" s="9">
        <f>IF($B148="","",MAX(0,P148+Q148+R148))</f>
        <v/>
      </c>
      <c r="T148" s="9">
        <f>IF($B148="","",IF(O148&lt;&gt;"","X",IF(S148&gt;='Critères et poids'!$C$29,"A",IF(S148&gt;='Critères et poids'!$C$30,"B","C"))))</f>
        <v/>
      </c>
      <c r="U148" s="14">
        <f>IF(T148="","",INDEX('Critères et poids'!$D$29:$D$32,MATCH(T148,'Critères et poids'!$A$29:$A$32,0)))</f>
        <v/>
      </c>
      <c r="V148" s="14">
        <f>IF(T148="","",INDEX('Critères et poids'!$F$29:$F$32,MATCH(T148,'Critères et poids'!$A$29:$A$32,0)))</f>
        <v/>
      </c>
      <c r="W148" s="15">
        <f>IF(OR(AH148="",AJ148=""),"",IF(AI148+AJ148*60&lt;=ROUND('Critères et poids'!$C$37*1440,0),INT(AH148)+(AI148+AJ148*60)/1440,WORKDAY(INT(AH148),1+INT((AI148+AJ148*60-ROUND('Critères et poids'!$C$37*1440,0)-1)/(ROUND('Critères et poids'!$C$37*1440,0)-ROUND('Critères et poids'!$C$36*1440,0))))+(ROUND('Critères et poids'!$C$36*1440,0)+AI148+AJ148*60-ROUND('Critères et poids'!$C$37*1440,0)-INT((AI148+AJ148*60-ROUND('Critères et poids'!$C$37*1440,0)-1)/(ROUND('Critères et poids'!$C$37*1440,0)-ROUND('Critères et poids'!$C$36*1440,0)))*(ROUND('Critères et poids'!$C$37*1440,0)-ROUND('Critères et poids'!$C$36*1440,0)))/1440))</f>
        <v/>
      </c>
      <c r="X148" s="16" t="n"/>
      <c r="Y148" s="14">
        <f>IF(W148="","",IF(X148="",IF(NOW()&gt;W148,"En retard","En attente"),IF(X148&lt;=W148,"À temps","En retard")))</f>
        <v/>
      </c>
      <c r="Z148" s="17" t="n"/>
      <c r="AA148" s="14">
        <f>IF($B148="","",IF(OR(T148="X",AD148&lt;&gt;""),0,MAX(0,MIN(Q148,'Critères et poids'!$C$38*INT((TODAY()-IF(Z148&lt;&gt;"",Z148,INT($A148)))/7)))))</f>
        <v/>
      </c>
      <c r="AB148" s="14">
        <f>IF($B148="","",MAX(0,S148-AA148))</f>
        <v/>
      </c>
      <c r="AC148" s="9">
        <f>IF($B148="","",IF(T148="X","X",IF(AB148&gt;='Critères et poids'!$C$29,"A",IF(AB148&gt;='Critères et poids'!$C$30,"B","C"))))</f>
        <v/>
      </c>
      <c r="AD148" s="4" t="n"/>
      <c r="AE148" s="18" t="n"/>
      <c r="AF148" s="6" t="n"/>
      <c r="AH148">
        <f>IF($A148="","",IF(OR(WEEKDAY($A148,2)&gt;5,ROUND(MOD($A148,1)*1440,0)&gt;=ROUND('Critères et poids'!$C$37*1440,0)),WORKDAY(INT($A148),1)+ROUND('Critères et poids'!$C$36*1440,0)/1440,IF(ROUND(MOD($A148,1)*1440,0)&lt;ROUND('Critères et poids'!$C$36*1440,0),INT($A148)+ROUND('Critères et poids'!$C$36*1440,0)/1440,$A148)))</f>
        <v/>
      </c>
      <c r="AI148">
        <f>IF(AH148="","",ROUND(MOD(AH148,1)*1440,0))</f>
        <v/>
      </c>
      <c r="AJ148">
        <f>IF(T148="","",INDEX('Critères et poids'!$E$29:$E$32,MATCH(T148,'Critères et poids'!$A$29:$A$32,0)))</f>
        <v/>
      </c>
    </row>
    <row r="149">
      <c r="A149" s="13" t="n"/>
      <c r="B149" s="6" t="n"/>
      <c r="C149" s="6" t="n"/>
      <c r="D149" s="4" t="n"/>
      <c r="E149" s="4" t="n"/>
      <c r="F149" s="4" t="n"/>
      <c r="G149" s="4" t="n"/>
      <c r="H149" s="4" t="n"/>
      <c r="I149" s="4" t="n"/>
      <c r="J149" s="4" t="n"/>
      <c r="K149" s="4" t="n"/>
      <c r="L149" s="4" t="n"/>
      <c r="M149" s="4" t="n"/>
      <c r="N149" s="6" t="n"/>
      <c r="O149" s="6" t="n"/>
      <c r="P149" s="14">
        <f>IF($B149="","",(E149="Clair")*'Critères et poids'!$G$5+(E149="Partiel")*'Critères et poids'!$G$5/2+(F149="Clair")*'Critères et poids'!$G$6+(F149="Partiel")*'Critères et poids'!$G$6/2+(G149="Clair")*'Critères et poids'!$G$7+(G149="Partiel")*'Critères et poids'!$G$7/2+(H149="Clair")*'Critères et poids'!$G$8+(H149="Partiel")*'Critères et poids'!$G$8/2)</f>
        <v/>
      </c>
      <c r="Q149" s="14">
        <f>IF($B149="","",(I149="Clair")*'Critères et poids'!$G$9+(I149="Partiel")*'Critères et poids'!$G$9/2+(J149="Clair")*'Critères et poids'!$G$10+(J149="Partiel")*'Critères et poids'!$G$10/2+(K149="Clair")*'Critères et poids'!$G$11+(K149="Partiel")*'Critères et poids'!$G$11/2+(L149="Clair")*'Critères et poids'!$G$12+(L149="Partiel")*'Critères et poids'!$G$12/2+(M149="Clair")*'Critères et poids'!$G$13+(M149="Partiel")*'Critères et poids'!$G$13/2)</f>
        <v/>
      </c>
      <c r="R149" s="14">
        <f>IF($B149="","",IFERROR(VLOOKUP(N149,'Critères et poids'!$B$17:$C$20,2,FALSE),0))</f>
        <v/>
      </c>
      <c r="S149" s="9">
        <f>IF($B149="","",MAX(0,P149+Q149+R149))</f>
        <v/>
      </c>
      <c r="T149" s="9">
        <f>IF($B149="","",IF(O149&lt;&gt;"","X",IF(S149&gt;='Critères et poids'!$C$29,"A",IF(S149&gt;='Critères et poids'!$C$30,"B","C"))))</f>
        <v/>
      </c>
      <c r="U149" s="14">
        <f>IF(T149="","",INDEX('Critères et poids'!$D$29:$D$32,MATCH(T149,'Critères et poids'!$A$29:$A$32,0)))</f>
        <v/>
      </c>
      <c r="V149" s="14">
        <f>IF(T149="","",INDEX('Critères et poids'!$F$29:$F$32,MATCH(T149,'Critères et poids'!$A$29:$A$32,0)))</f>
        <v/>
      </c>
      <c r="W149" s="15">
        <f>IF(OR(AH149="",AJ149=""),"",IF(AI149+AJ149*60&lt;=ROUND('Critères et poids'!$C$37*1440,0),INT(AH149)+(AI149+AJ149*60)/1440,WORKDAY(INT(AH149),1+INT((AI149+AJ149*60-ROUND('Critères et poids'!$C$37*1440,0)-1)/(ROUND('Critères et poids'!$C$37*1440,0)-ROUND('Critères et poids'!$C$36*1440,0))))+(ROUND('Critères et poids'!$C$36*1440,0)+AI149+AJ149*60-ROUND('Critères et poids'!$C$37*1440,0)-INT((AI149+AJ149*60-ROUND('Critères et poids'!$C$37*1440,0)-1)/(ROUND('Critères et poids'!$C$37*1440,0)-ROUND('Critères et poids'!$C$36*1440,0)))*(ROUND('Critères et poids'!$C$37*1440,0)-ROUND('Critères et poids'!$C$36*1440,0)))/1440))</f>
        <v/>
      </c>
      <c r="X149" s="16" t="n"/>
      <c r="Y149" s="14">
        <f>IF(W149="","",IF(X149="",IF(NOW()&gt;W149,"En retard","En attente"),IF(X149&lt;=W149,"À temps","En retard")))</f>
        <v/>
      </c>
      <c r="Z149" s="17" t="n"/>
      <c r="AA149" s="14">
        <f>IF($B149="","",IF(OR(T149="X",AD149&lt;&gt;""),0,MAX(0,MIN(Q149,'Critères et poids'!$C$38*INT((TODAY()-IF(Z149&lt;&gt;"",Z149,INT($A149)))/7)))))</f>
        <v/>
      </c>
      <c r="AB149" s="14">
        <f>IF($B149="","",MAX(0,S149-AA149))</f>
        <v/>
      </c>
      <c r="AC149" s="9">
        <f>IF($B149="","",IF(T149="X","X",IF(AB149&gt;='Critères et poids'!$C$29,"A",IF(AB149&gt;='Critères et poids'!$C$30,"B","C"))))</f>
        <v/>
      </c>
      <c r="AD149" s="4" t="n"/>
      <c r="AE149" s="18" t="n"/>
      <c r="AF149" s="6" t="n"/>
      <c r="AH149">
        <f>IF($A149="","",IF(OR(WEEKDAY($A149,2)&gt;5,ROUND(MOD($A149,1)*1440,0)&gt;=ROUND('Critères et poids'!$C$37*1440,0)),WORKDAY(INT($A149),1)+ROUND('Critères et poids'!$C$36*1440,0)/1440,IF(ROUND(MOD($A149,1)*1440,0)&lt;ROUND('Critères et poids'!$C$36*1440,0),INT($A149)+ROUND('Critères et poids'!$C$36*1440,0)/1440,$A149)))</f>
        <v/>
      </c>
      <c r="AI149">
        <f>IF(AH149="","",ROUND(MOD(AH149,1)*1440,0))</f>
        <v/>
      </c>
      <c r="AJ149">
        <f>IF(T149="","",INDEX('Critères et poids'!$E$29:$E$32,MATCH(T149,'Critères et poids'!$A$29:$A$32,0)))</f>
        <v/>
      </c>
    </row>
    <row r="150">
      <c r="A150" s="13" t="n"/>
      <c r="B150" s="6" t="n"/>
      <c r="C150" s="6" t="n"/>
      <c r="D150" s="4" t="n"/>
      <c r="E150" s="4" t="n"/>
      <c r="F150" s="4" t="n"/>
      <c r="G150" s="4" t="n"/>
      <c r="H150" s="4" t="n"/>
      <c r="I150" s="4" t="n"/>
      <c r="J150" s="4" t="n"/>
      <c r="K150" s="4" t="n"/>
      <c r="L150" s="4" t="n"/>
      <c r="M150" s="4" t="n"/>
      <c r="N150" s="6" t="n"/>
      <c r="O150" s="6" t="n"/>
      <c r="P150" s="14">
        <f>IF($B150="","",(E150="Clair")*'Critères et poids'!$G$5+(E150="Partiel")*'Critères et poids'!$G$5/2+(F150="Clair")*'Critères et poids'!$G$6+(F150="Partiel")*'Critères et poids'!$G$6/2+(G150="Clair")*'Critères et poids'!$G$7+(G150="Partiel")*'Critères et poids'!$G$7/2+(H150="Clair")*'Critères et poids'!$G$8+(H150="Partiel")*'Critères et poids'!$G$8/2)</f>
        <v/>
      </c>
      <c r="Q150" s="14">
        <f>IF($B150="","",(I150="Clair")*'Critères et poids'!$G$9+(I150="Partiel")*'Critères et poids'!$G$9/2+(J150="Clair")*'Critères et poids'!$G$10+(J150="Partiel")*'Critères et poids'!$G$10/2+(K150="Clair")*'Critères et poids'!$G$11+(K150="Partiel")*'Critères et poids'!$G$11/2+(L150="Clair")*'Critères et poids'!$G$12+(L150="Partiel")*'Critères et poids'!$G$12/2+(M150="Clair")*'Critères et poids'!$G$13+(M150="Partiel")*'Critères et poids'!$G$13/2)</f>
        <v/>
      </c>
      <c r="R150" s="14">
        <f>IF($B150="","",IFERROR(VLOOKUP(N150,'Critères et poids'!$B$17:$C$20,2,FALSE),0))</f>
        <v/>
      </c>
      <c r="S150" s="9">
        <f>IF($B150="","",MAX(0,P150+Q150+R150))</f>
        <v/>
      </c>
      <c r="T150" s="9">
        <f>IF($B150="","",IF(O150&lt;&gt;"","X",IF(S150&gt;='Critères et poids'!$C$29,"A",IF(S150&gt;='Critères et poids'!$C$30,"B","C"))))</f>
        <v/>
      </c>
      <c r="U150" s="14">
        <f>IF(T150="","",INDEX('Critères et poids'!$D$29:$D$32,MATCH(T150,'Critères et poids'!$A$29:$A$32,0)))</f>
        <v/>
      </c>
      <c r="V150" s="14">
        <f>IF(T150="","",INDEX('Critères et poids'!$F$29:$F$32,MATCH(T150,'Critères et poids'!$A$29:$A$32,0)))</f>
        <v/>
      </c>
      <c r="W150" s="15">
        <f>IF(OR(AH150="",AJ150=""),"",IF(AI150+AJ150*60&lt;=ROUND('Critères et poids'!$C$37*1440,0),INT(AH150)+(AI150+AJ150*60)/1440,WORKDAY(INT(AH150),1+INT((AI150+AJ150*60-ROUND('Critères et poids'!$C$37*1440,0)-1)/(ROUND('Critères et poids'!$C$37*1440,0)-ROUND('Critères et poids'!$C$36*1440,0))))+(ROUND('Critères et poids'!$C$36*1440,0)+AI150+AJ150*60-ROUND('Critères et poids'!$C$37*1440,0)-INT((AI150+AJ150*60-ROUND('Critères et poids'!$C$37*1440,0)-1)/(ROUND('Critères et poids'!$C$37*1440,0)-ROUND('Critères et poids'!$C$36*1440,0)))*(ROUND('Critères et poids'!$C$37*1440,0)-ROUND('Critères et poids'!$C$36*1440,0)))/1440))</f>
        <v/>
      </c>
      <c r="X150" s="16" t="n"/>
      <c r="Y150" s="14">
        <f>IF(W150="","",IF(X150="",IF(NOW()&gt;W150,"En retard","En attente"),IF(X150&lt;=W150,"À temps","En retard")))</f>
        <v/>
      </c>
      <c r="Z150" s="17" t="n"/>
      <c r="AA150" s="14">
        <f>IF($B150="","",IF(OR(T150="X",AD150&lt;&gt;""),0,MAX(0,MIN(Q150,'Critères et poids'!$C$38*INT((TODAY()-IF(Z150&lt;&gt;"",Z150,INT($A150)))/7)))))</f>
        <v/>
      </c>
      <c r="AB150" s="14">
        <f>IF($B150="","",MAX(0,S150-AA150))</f>
        <v/>
      </c>
      <c r="AC150" s="9">
        <f>IF($B150="","",IF(T150="X","X",IF(AB150&gt;='Critères et poids'!$C$29,"A",IF(AB150&gt;='Critères et poids'!$C$30,"B","C"))))</f>
        <v/>
      </c>
      <c r="AD150" s="4" t="n"/>
      <c r="AE150" s="18" t="n"/>
      <c r="AF150" s="6" t="n"/>
      <c r="AH150">
        <f>IF($A150="","",IF(OR(WEEKDAY($A150,2)&gt;5,ROUND(MOD($A150,1)*1440,0)&gt;=ROUND('Critères et poids'!$C$37*1440,0)),WORKDAY(INT($A150),1)+ROUND('Critères et poids'!$C$36*1440,0)/1440,IF(ROUND(MOD($A150,1)*1440,0)&lt;ROUND('Critères et poids'!$C$36*1440,0),INT($A150)+ROUND('Critères et poids'!$C$36*1440,0)/1440,$A150)))</f>
        <v/>
      </c>
      <c r="AI150">
        <f>IF(AH150="","",ROUND(MOD(AH150,1)*1440,0))</f>
        <v/>
      </c>
      <c r="AJ150">
        <f>IF(T150="","",INDEX('Critères et poids'!$E$29:$E$32,MATCH(T150,'Critères et poids'!$A$29:$A$32,0)))</f>
        <v/>
      </c>
    </row>
    <row r="151">
      <c r="A151" s="13" t="n"/>
      <c r="B151" s="6" t="n"/>
      <c r="C151" s="6" t="n"/>
      <c r="D151" s="4" t="n"/>
      <c r="E151" s="4" t="n"/>
      <c r="F151" s="4" t="n"/>
      <c r="G151" s="4" t="n"/>
      <c r="H151" s="4" t="n"/>
      <c r="I151" s="4" t="n"/>
      <c r="J151" s="4" t="n"/>
      <c r="K151" s="4" t="n"/>
      <c r="L151" s="4" t="n"/>
      <c r="M151" s="4" t="n"/>
      <c r="N151" s="6" t="n"/>
      <c r="O151" s="6" t="n"/>
      <c r="P151" s="14">
        <f>IF($B151="","",(E151="Clair")*'Critères et poids'!$G$5+(E151="Partiel")*'Critères et poids'!$G$5/2+(F151="Clair")*'Critères et poids'!$G$6+(F151="Partiel")*'Critères et poids'!$G$6/2+(G151="Clair")*'Critères et poids'!$G$7+(G151="Partiel")*'Critères et poids'!$G$7/2+(H151="Clair")*'Critères et poids'!$G$8+(H151="Partiel")*'Critères et poids'!$G$8/2)</f>
        <v/>
      </c>
      <c r="Q151" s="14">
        <f>IF($B151="","",(I151="Clair")*'Critères et poids'!$G$9+(I151="Partiel")*'Critères et poids'!$G$9/2+(J151="Clair")*'Critères et poids'!$G$10+(J151="Partiel")*'Critères et poids'!$G$10/2+(K151="Clair")*'Critères et poids'!$G$11+(K151="Partiel")*'Critères et poids'!$G$11/2+(L151="Clair")*'Critères et poids'!$G$12+(L151="Partiel")*'Critères et poids'!$G$12/2+(M151="Clair")*'Critères et poids'!$G$13+(M151="Partiel")*'Critères et poids'!$G$13/2)</f>
        <v/>
      </c>
      <c r="R151" s="14">
        <f>IF($B151="","",IFERROR(VLOOKUP(N151,'Critères et poids'!$B$17:$C$20,2,FALSE),0))</f>
        <v/>
      </c>
      <c r="S151" s="9">
        <f>IF($B151="","",MAX(0,P151+Q151+R151))</f>
        <v/>
      </c>
      <c r="T151" s="9">
        <f>IF($B151="","",IF(O151&lt;&gt;"","X",IF(S151&gt;='Critères et poids'!$C$29,"A",IF(S151&gt;='Critères et poids'!$C$30,"B","C"))))</f>
        <v/>
      </c>
      <c r="U151" s="14">
        <f>IF(T151="","",INDEX('Critères et poids'!$D$29:$D$32,MATCH(T151,'Critères et poids'!$A$29:$A$32,0)))</f>
        <v/>
      </c>
      <c r="V151" s="14">
        <f>IF(T151="","",INDEX('Critères et poids'!$F$29:$F$32,MATCH(T151,'Critères et poids'!$A$29:$A$32,0)))</f>
        <v/>
      </c>
      <c r="W151" s="15">
        <f>IF(OR(AH151="",AJ151=""),"",IF(AI151+AJ151*60&lt;=ROUND('Critères et poids'!$C$37*1440,0),INT(AH151)+(AI151+AJ151*60)/1440,WORKDAY(INT(AH151),1+INT((AI151+AJ151*60-ROUND('Critères et poids'!$C$37*1440,0)-1)/(ROUND('Critères et poids'!$C$37*1440,0)-ROUND('Critères et poids'!$C$36*1440,0))))+(ROUND('Critères et poids'!$C$36*1440,0)+AI151+AJ151*60-ROUND('Critères et poids'!$C$37*1440,0)-INT((AI151+AJ151*60-ROUND('Critères et poids'!$C$37*1440,0)-1)/(ROUND('Critères et poids'!$C$37*1440,0)-ROUND('Critères et poids'!$C$36*1440,0)))*(ROUND('Critères et poids'!$C$37*1440,0)-ROUND('Critères et poids'!$C$36*1440,0)))/1440))</f>
        <v/>
      </c>
      <c r="X151" s="16" t="n"/>
      <c r="Y151" s="14">
        <f>IF(W151="","",IF(X151="",IF(NOW()&gt;W151,"En retard","En attente"),IF(X151&lt;=W151,"À temps","En retard")))</f>
        <v/>
      </c>
      <c r="Z151" s="17" t="n"/>
      <c r="AA151" s="14">
        <f>IF($B151="","",IF(OR(T151="X",AD151&lt;&gt;""),0,MAX(0,MIN(Q151,'Critères et poids'!$C$38*INT((TODAY()-IF(Z151&lt;&gt;"",Z151,INT($A151)))/7)))))</f>
        <v/>
      </c>
      <c r="AB151" s="14">
        <f>IF($B151="","",MAX(0,S151-AA151))</f>
        <v/>
      </c>
      <c r="AC151" s="9">
        <f>IF($B151="","",IF(T151="X","X",IF(AB151&gt;='Critères et poids'!$C$29,"A",IF(AB151&gt;='Critères et poids'!$C$30,"B","C"))))</f>
        <v/>
      </c>
      <c r="AD151" s="4" t="n"/>
      <c r="AE151" s="18" t="n"/>
      <c r="AF151" s="6" t="n"/>
      <c r="AH151">
        <f>IF($A151="","",IF(OR(WEEKDAY($A151,2)&gt;5,ROUND(MOD($A151,1)*1440,0)&gt;=ROUND('Critères et poids'!$C$37*1440,0)),WORKDAY(INT($A151),1)+ROUND('Critères et poids'!$C$36*1440,0)/1440,IF(ROUND(MOD($A151,1)*1440,0)&lt;ROUND('Critères et poids'!$C$36*1440,0),INT($A151)+ROUND('Critères et poids'!$C$36*1440,0)/1440,$A151)))</f>
        <v/>
      </c>
      <c r="AI151">
        <f>IF(AH151="","",ROUND(MOD(AH151,1)*1440,0))</f>
        <v/>
      </c>
      <c r="AJ151">
        <f>IF(T151="","",INDEX('Critères et poids'!$E$29:$E$32,MATCH(T151,'Critères et poids'!$A$29:$A$32,0)))</f>
        <v/>
      </c>
    </row>
    <row r="152">
      <c r="A152" s="13" t="n"/>
      <c r="B152" s="6" t="n"/>
      <c r="C152" s="6" t="n"/>
      <c r="D152" s="4" t="n"/>
      <c r="E152" s="4" t="n"/>
      <c r="F152" s="4" t="n"/>
      <c r="G152" s="4" t="n"/>
      <c r="H152" s="4" t="n"/>
      <c r="I152" s="4" t="n"/>
      <c r="J152" s="4" t="n"/>
      <c r="K152" s="4" t="n"/>
      <c r="L152" s="4" t="n"/>
      <c r="M152" s="4" t="n"/>
      <c r="N152" s="6" t="n"/>
      <c r="O152" s="6" t="n"/>
      <c r="P152" s="14">
        <f>IF($B152="","",(E152="Clair")*'Critères et poids'!$G$5+(E152="Partiel")*'Critères et poids'!$G$5/2+(F152="Clair")*'Critères et poids'!$G$6+(F152="Partiel")*'Critères et poids'!$G$6/2+(G152="Clair")*'Critères et poids'!$G$7+(G152="Partiel")*'Critères et poids'!$G$7/2+(H152="Clair")*'Critères et poids'!$G$8+(H152="Partiel")*'Critères et poids'!$G$8/2)</f>
        <v/>
      </c>
      <c r="Q152" s="14">
        <f>IF($B152="","",(I152="Clair")*'Critères et poids'!$G$9+(I152="Partiel")*'Critères et poids'!$G$9/2+(J152="Clair")*'Critères et poids'!$G$10+(J152="Partiel")*'Critères et poids'!$G$10/2+(K152="Clair")*'Critères et poids'!$G$11+(K152="Partiel")*'Critères et poids'!$G$11/2+(L152="Clair")*'Critères et poids'!$G$12+(L152="Partiel")*'Critères et poids'!$G$12/2+(M152="Clair")*'Critères et poids'!$G$13+(M152="Partiel")*'Critères et poids'!$G$13/2)</f>
        <v/>
      </c>
      <c r="R152" s="14">
        <f>IF($B152="","",IFERROR(VLOOKUP(N152,'Critères et poids'!$B$17:$C$20,2,FALSE),0))</f>
        <v/>
      </c>
      <c r="S152" s="9">
        <f>IF($B152="","",MAX(0,P152+Q152+R152))</f>
        <v/>
      </c>
      <c r="T152" s="9">
        <f>IF($B152="","",IF(O152&lt;&gt;"","X",IF(S152&gt;='Critères et poids'!$C$29,"A",IF(S152&gt;='Critères et poids'!$C$30,"B","C"))))</f>
        <v/>
      </c>
      <c r="U152" s="14">
        <f>IF(T152="","",INDEX('Critères et poids'!$D$29:$D$32,MATCH(T152,'Critères et poids'!$A$29:$A$32,0)))</f>
        <v/>
      </c>
      <c r="V152" s="14">
        <f>IF(T152="","",INDEX('Critères et poids'!$F$29:$F$32,MATCH(T152,'Critères et poids'!$A$29:$A$32,0)))</f>
        <v/>
      </c>
      <c r="W152" s="15">
        <f>IF(OR(AH152="",AJ152=""),"",IF(AI152+AJ152*60&lt;=ROUND('Critères et poids'!$C$37*1440,0),INT(AH152)+(AI152+AJ152*60)/1440,WORKDAY(INT(AH152),1+INT((AI152+AJ152*60-ROUND('Critères et poids'!$C$37*1440,0)-1)/(ROUND('Critères et poids'!$C$37*1440,0)-ROUND('Critères et poids'!$C$36*1440,0))))+(ROUND('Critères et poids'!$C$36*1440,0)+AI152+AJ152*60-ROUND('Critères et poids'!$C$37*1440,0)-INT((AI152+AJ152*60-ROUND('Critères et poids'!$C$37*1440,0)-1)/(ROUND('Critères et poids'!$C$37*1440,0)-ROUND('Critères et poids'!$C$36*1440,0)))*(ROUND('Critères et poids'!$C$37*1440,0)-ROUND('Critères et poids'!$C$36*1440,0)))/1440))</f>
        <v/>
      </c>
      <c r="X152" s="16" t="n"/>
      <c r="Y152" s="14">
        <f>IF(W152="","",IF(X152="",IF(NOW()&gt;W152,"En retard","En attente"),IF(X152&lt;=W152,"À temps","En retard")))</f>
        <v/>
      </c>
      <c r="Z152" s="17" t="n"/>
      <c r="AA152" s="14">
        <f>IF($B152="","",IF(OR(T152="X",AD152&lt;&gt;""),0,MAX(0,MIN(Q152,'Critères et poids'!$C$38*INT((TODAY()-IF(Z152&lt;&gt;"",Z152,INT($A152)))/7)))))</f>
        <v/>
      </c>
      <c r="AB152" s="14">
        <f>IF($B152="","",MAX(0,S152-AA152))</f>
        <v/>
      </c>
      <c r="AC152" s="9">
        <f>IF($B152="","",IF(T152="X","X",IF(AB152&gt;='Critères et poids'!$C$29,"A",IF(AB152&gt;='Critères et poids'!$C$30,"B","C"))))</f>
        <v/>
      </c>
      <c r="AD152" s="4" t="n"/>
      <c r="AE152" s="18" t="n"/>
      <c r="AF152" s="6" t="n"/>
      <c r="AH152">
        <f>IF($A152="","",IF(OR(WEEKDAY($A152,2)&gt;5,ROUND(MOD($A152,1)*1440,0)&gt;=ROUND('Critères et poids'!$C$37*1440,0)),WORKDAY(INT($A152),1)+ROUND('Critères et poids'!$C$36*1440,0)/1440,IF(ROUND(MOD($A152,1)*1440,0)&lt;ROUND('Critères et poids'!$C$36*1440,0),INT($A152)+ROUND('Critères et poids'!$C$36*1440,0)/1440,$A152)))</f>
        <v/>
      </c>
      <c r="AI152">
        <f>IF(AH152="","",ROUND(MOD(AH152,1)*1440,0))</f>
        <v/>
      </c>
      <c r="AJ152">
        <f>IF(T152="","",INDEX('Critères et poids'!$E$29:$E$32,MATCH(T152,'Critères et poids'!$A$29:$A$32,0)))</f>
        <v/>
      </c>
    </row>
    <row r="153">
      <c r="A153" s="13" t="n"/>
      <c r="B153" s="6" t="n"/>
      <c r="C153" s="6" t="n"/>
      <c r="D153" s="4" t="n"/>
      <c r="E153" s="4" t="n"/>
      <c r="F153" s="4" t="n"/>
      <c r="G153" s="4" t="n"/>
      <c r="H153" s="4" t="n"/>
      <c r="I153" s="4" t="n"/>
      <c r="J153" s="4" t="n"/>
      <c r="K153" s="4" t="n"/>
      <c r="L153" s="4" t="n"/>
      <c r="M153" s="4" t="n"/>
      <c r="N153" s="6" t="n"/>
      <c r="O153" s="6" t="n"/>
      <c r="P153" s="14">
        <f>IF($B153="","",(E153="Clair")*'Critères et poids'!$G$5+(E153="Partiel")*'Critères et poids'!$G$5/2+(F153="Clair")*'Critères et poids'!$G$6+(F153="Partiel")*'Critères et poids'!$G$6/2+(G153="Clair")*'Critères et poids'!$G$7+(G153="Partiel")*'Critères et poids'!$G$7/2+(H153="Clair")*'Critères et poids'!$G$8+(H153="Partiel")*'Critères et poids'!$G$8/2)</f>
        <v/>
      </c>
      <c r="Q153" s="14">
        <f>IF($B153="","",(I153="Clair")*'Critères et poids'!$G$9+(I153="Partiel")*'Critères et poids'!$G$9/2+(J153="Clair")*'Critères et poids'!$G$10+(J153="Partiel")*'Critères et poids'!$G$10/2+(K153="Clair")*'Critères et poids'!$G$11+(K153="Partiel")*'Critères et poids'!$G$11/2+(L153="Clair")*'Critères et poids'!$G$12+(L153="Partiel")*'Critères et poids'!$G$12/2+(M153="Clair")*'Critères et poids'!$G$13+(M153="Partiel")*'Critères et poids'!$G$13/2)</f>
        <v/>
      </c>
      <c r="R153" s="14">
        <f>IF($B153="","",IFERROR(VLOOKUP(N153,'Critères et poids'!$B$17:$C$20,2,FALSE),0))</f>
        <v/>
      </c>
      <c r="S153" s="9">
        <f>IF($B153="","",MAX(0,P153+Q153+R153))</f>
        <v/>
      </c>
      <c r="T153" s="9">
        <f>IF($B153="","",IF(O153&lt;&gt;"","X",IF(S153&gt;='Critères et poids'!$C$29,"A",IF(S153&gt;='Critères et poids'!$C$30,"B","C"))))</f>
        <v/>
      </c>
      <c r="U153" s="14">
        <f>IF(T153="","",INDEX('Critères et poids'!$D$29:$D$32,MATCH(T153,'Critères et poids'!$A$29:$A$32,0)))</f>
        <v/>
      </c>
      <c r="V153" s="14">
        <f>IF(T153="","",INDEX('Critères et poids'!$F$29:$F$32,MATCH(T153,'Critères et poids'!$A$29:$A$32,0)))</f>
        <v/>
      </c>
      <c r="W153" s="15">
        <f>IF(OR(AH153="",AJ153=""),"",IF(AI153+AJ153*60&lt;=ROUND('Critères et poids'!$C$37*1440,0),INT(AH153)+(AI153+AJ153*60)/1440,WORKDAY(INT(AH153),1+INT((AI153+AJ153*60-ROUND('Critères et poids'!$C$37*1440,0)-1)/(ROUND('Critères et poids'!$C$37*1440,0)-ROUND('Critères et poids'!$C$36*1440,0))))+(ROUND('Critères et poids'!$C$36*1440,0)+AI153+AJ153*60-ROUND('Critères et poids'!$C$37*1440,0)-INT((AI153+AJ153*60-ROUND('Critères et poids'!$C$37*1440,0)-1)/(ROUND('Critères et poids'!$C$37*1440,0)-ROUND('Critères et poids'!$C$36*1440,0)))*(ROUND('Critères et poids'!$C$37*1440,0)-ROUND('Critères et poids'!$C$36*1440,0)))/1440))</f>
        <v/>
      </c>
      <c r="X153" s="16" t="n"/>
      <c r="Y153" s="14">
        <f>IF(W153="","",IF(X153="",IF(NOW()&gt;W153,"En retard","En attente"),IF(X153&lt;=W153,"À temps","En retard")))</f>
        <v/>
      </c>
      <c r="Z153" s="17" t="n"/>
      <c r="AA153" s="14">
        <f>IF($B153="","",IF(OR(T153="X",AD153&lt;&gt;""),0,MAX(0,MIN(Q153,'Critères et poids'!$C$38*INT((TODAY()-IF(Z153&lt;&gt;"",Z153,INT($A153)))/7)))))</f>
        <v/>
      </c>
      <c r="AB153" s="14">
        <f>IF($B153="","",MAX(0,S153-AA153))</f>
        <v/>
      </c>
      <c r="AC153" s="9">
        <f>IF($B153="","",IF(T153="X","X",IF(AB153&gt;='Critères et poids'!$C$29,"A",IF(AB153&gt;='Critères et poids'!$C$30,"B","C"))))</f>
        <v/>
      </c>
      <c r="AD153" s="4" t="n"/>
      <c r="AE153" s="18" t="n"/>
      <c r="AF153" s="6" t="n"/>
      <c r="AH153">
        <f>IF($A153="","",IF(OR(WEEKDAY($A153,2)&gt;5,ROUND(MOD($A153,1)*1440,0)&gt;=ROUND('Critères et poids'!$C$37*1440,0)),WORKDAY(INT($A153),1)+ROUND('Critères et poids'!$C$36*1440,0)/1440,IF(ROUND(MOD($A153,1)*1440,0)&lt;ROUND('Critères et poids'!$C$36*1440,0),INT($A153)+ROUND('Critères et poids'!$C$36*1440,0)/1440,$A153)))</f>
        <v/>
      </c>
      <c r="AI153">
        <f>IF(AH153="","",ROUND(MOD(AH153,1)*1440,0))</f>
        <v/>
      </c>
      <c r="AJ153">
        <f>IF(T153="","",INDEX('Critères et poids'!$E$29:$E$32,MATCH(T153,'Critères et poids'!$A$29:$A$32,0)))</f>
        <v/>
      </c>
    </row>
    <row r="154">
      <c r="A154" s="13" t="n"/>
      <c r="B154" s="6" t="n"/>
      <c r="C154" s="6" t="n"/>
      <c r="D154" s="4" t="n"/>
      <c r="E154" s="4" t="n"/>
      <c r="F154" s="4" t="n"/>
      <c r="G154" s="4" t="n"/>
      <c r="H154" s="4" t="n"/>
      <c r="I154" s="4" t="n"/>
      <c r="J154" s="4" t="n"/>
      <c r="K154" s="4" t="n"/>
      <c r="L154" s="4" t="n"/>
      <c r="M154" s="4" t="n"/>
      <c r="N154" s="6" t="n"/>
      <c r="O154" s="6" t="n"/>
      <c r="P154" s="14">
        <f>IF($B154="","",(E154="Clair")*'Critères et poids'!$G$5+(E154="Partiel")*'Critères et poids'!$G$5/2+(F154="Clair")*'Critères et poids'!$G$6+(F154="Partiel")*'Critères et poids'!$G$6/2+(G154="Clair")*'Critères et poids'!$G$7+(G154="Partiel")*'Critères et poids'!$G$7/2+(H154="Clair")*'Critères et poids'!$G$8+(H154="Partiel")*'Critères et poids'!$G$8/2)</f>
        <v/>
      </c>
      <c r="Q154" s="14">
        <f>IF($B154="","",(I154="Clair")*'Critères et poids'!$G$9+(I154="Partiel")*'Critères et poids'!$G$9/2+(J154="Clair")*'Critères et poids'!$G$10+(J154="Partiel")*'Critères et poids'!$G$10/2+(K154="Clair")*'Critères et poids'!$G$11+(K154="Partiel")*'Critères et poids'!$G$11/2+(L154="Clair")*'Critères et poids'!$G$12+(L154="Partiel")*'Critères et poids'!$G$12/2+(M154="Clair")*'Critères et poids'!$G$13+(M154="Partiel")*'Critères et poids'!$G$13/2)</f>
        <v/>
      </c>
      <c r="R154" s="14">
        <f>IF($B154="","",IFERROR(VLOOKUP(N154,'Critères et poids'!$B$17:$C$20,2,FALSE),0))</f>
        <v/>
      </c>
      <c r="S154" s="9">
        <f>IF($B154="","",MAX(0,P154+Q154+R154))</f>
        <v/>
      </c>
      <c r="T154" s="9">
        <f>IF($B154="","",IF(O154&lt;&gt;"","X",IF(S154&gt;='Critères et poids'!$C$29,"A",IF(S154&gt;='Critères et poids'!$C$30,"B","C"))))</f>
        <v/>
      </c>
      <c r="U154" s="14">
        <f>IF(T154="","",INDEX('Critères et poids'!$D$29:$D$32,MATCH(T154,'Critères et poids'!$A$29:$A$32,0)))</f>
        <v/>
      </c>
      <c r="V154" s="14">
        <f>IF(T154="","",INDEX('Critères et poids'!$F$29:$F$32,MATCH(T154,'Critères et poids'!$A$29:$A$32,0)))</f>
        <v/>
      </c>
      <c r="W154" s="15">
        <f>IF(OR(AH154="",AJ154=""),"",IF(AI154+AJ154*60&lt;=ROUND('Critères et poids'!$C$37*1440,0),INT(AH154)+(AI154+AJ154*60)/1440,WORKDAY(INT(AH154),1+INT((AI154+AJ154*60-ROUND('Critères et poids'!$C$37*1440,0)-1)/(ROUND('Critères et poids'!$C$37*1440,0)-ROUND('Critères et poids'!$C$36*1440,0))))+(ROUND('Critères et poids'!$C$36*1440,0)+AI154+AJ154*60-ROUND('Critères et poids'!$C$37*1440,0)-INT((AI154+AJ154*60-ROUND('Critères et poids'!$C$37*1440,0)-1)/(ROUND('Critères et poids'!$C$37*1440,0)-ROUND('Critères et poids'!$C$36*1440,0)))*(ROUND('Critères et poids'!$C$37*1440,0)-ROUND('Critères et poids'!$C$36*1440,0)))/1440))</f>
        <v/>
      </c>
      <c r="X154" s="16" t="n"/>
      <c r="Y154" s="14">
        <f>IF(W154="","",IF(X154="",IF(NOW()&gt;W154,"En retard","En attente"),IF(X154&lt;=W154,"À temps","En retard")))</f>
        <v/>
      </c>
      <c r="Z154" s="17" t="n"/>
      <c r="AA154" s="14">
        <f>IF($B154="","",IF(OR(T154="X",AD154&lt;&gt;""),0,MAX(0,MIN(Q154,'Critères et poids'!$C$38*INT((TODAY()-IF(Z154&lt;&gt;"",Z154,INT($A154)))/7)))))</f>
        <v/>
      </c>
      <c r="AB154" s="14">
        <f>IF($B154="","",MAX(0,S154-AA154))</f>
        <v/>
      </c>
      <c r="AC154" s="9">
        <f>IF($B154="","",IF(T154="X","X",IF(AB154&gt;='Critères et poids'!$C$29,"A",IF(AB154&gt;='Critères et poids'!$C$30,"B","C"))))</f>
        <v/>
      </c>
      <c r="AD154" s="4" t="n"/>
      <c r="AE154" s="18" t="n"/>
      <c r="AF154" s="6" t="n"/>
      <c r="AH154">
        <f>IF($A154="","",IF(OR(WEEKDAY($A154,2)&gt;5,ROUND(MOD($A154,1)*1440,0)&gt;=ROUND('Critères et poids'!$C$37*1440,0)),WORKDAY(INT($A154),1)+ROUND('Critères et poids'!$C$36*1440,0)/1440,IF(ROUND(MOD($A154,1)*1440,0)&lt;ROUND('Critères et poids'!$C$36*1440,0),INT($A154)+ROUND('Critères et poids'!$C$36*1440,0)/1440,$A154)))</f>
        <v/>
      </c>
      <c r="AI154">
        <f>IF(AH154="","",ROUND(MOD(AH154,1)*1440,0))</f>
        <v/>
      </c>
      <c r="AJ154">
        <f>IF(T154="","",INDEX('Critères et poids'!$E$29:$E$32,MATCH(T154,'Critères et poids'!$A$29:$A$32,0)))</f>
        <v/>
      </c>
    </row>
    <row r="155">
      <c r="A155" s="13" t="n"/>
      <c r="B155" s="6" t="n"/>
      <c r="C155" s="6" t="n"/>
      <c r="D155" s="4" t="n"/>
      <c r="E155" s="4" t="n"/>
      <c r="F155" s="4" t="n"/>
      <c r="G155" s="4" t="n"/>
      <c r="H155" s="4" t="n"/>
      <c r="I155" s="4" t="n"/>
      <c r="J155" s="4" t="n"/>
      <c r="K155" s="4" t="n"/>
      <c r="L155" s="4" t="n"/>
      <c r="M155" s="4" t="n"/>
      <c r="N155" s="6" t="n"/>
      <c r="O155" s="6" t="n"/>
      <c r="P155" s="14">
        <f>IF($B155="","",(E155="Clair")*'Critères et poids'!$G$5+(E155="Partiel")*'Critères et poids'!$G$5/2+(F155="Clair")*'Critères et poids'!$G$6+(F155="Partiel")*'Critères et poids'!$G$6/2+(G155="Clair")*'Critères et poids'!$G$7+(G155="Partiel")*'Critères et poids'!$G$7/2+(H155="Clair")*'Critères et poids'!$G$8+(H155="Partiel")*'Critères et poids'!$G$8/2)</f>
        <v/>
      </c>
      <c r="Q155" s="14">
        <f>IF($B155="","",(I155="Clair")*'Critères et poids'!$G$9+(I155="Partiel")*'Critères et poids'!$G$9/2+(J155="Clair")*'Critères et poids'!$G$10+(J155="Partiel")*'Critères et poids'!$G$10/2+(K155="Clair")*'Critères et poids'!$G$11+(K155="Partiel")*'Critères et poids'!$G$11/2+(L155="Clair")*'Critères et poids'!$G$12+(L155="Partiel")*'Critères et poids'!$G$12/2+(M155="Clair")*'Critères et poids'!$G$13+(M155="Partiel")*'Critères et poids'!$G$13/2)</f>
        <v/>
      </c>
      <c r="R155" s="14">
        <f>IF($B155="","",IFERROR(VLOOKUP(N155,'Critères et poids'!$B$17:$C$20,2,FALSE),0))</f>
        <v/>
      </c>
      <c r="S155" s="9">
        <f>IF($B155="","",MAX(0,P155+Q155+R155))</f>
        <v/>
      </c>
      <c r="T155" s="9">
        <f>IF($B155="","",IF(O155&lt;&gt;"","X",IF(S155&gt;='Critères et poids'!$C$29,"A",IF(S155&gt;='Critères et poids'!$C$30,"B","C"))))</f>
        <v/>
      </c>
      <c r="U155" s="14">
        <f>IF(T155="","",INDEX('Critères et poids'!$D$29:$D$32,MATCH(T155,'Critères et poids'!$A$29:$A$32,0)))</f>
        <v/>
      </c>
      <c r="V155" s="14">
        <f>IF(T155="","",INDEX('Critères et poids'!$F$29:$F$32,MATCH(T155,'Critères et poids'!$A$29:$A$32,0)))</f>
        <v/>
      </c>
      <c r="W155" s="15">
        <f>IF(OR(AH155="",AJ155=""),"",IF(AI155+AJ155*60&lt;=ROUND('Critères et poids'!$C$37*1440,0),INT(AH155)+(AI155+AJ155*60)/1440,WORKDAY(INT(AH155),1+INT((AI155+AJ155*60-ROUND('Critères et poids'!$C$37*1440,0)-1)/(ROUND('Critères et poids'!$C$37*1440,0)-ROUND('Critères et poids'!$C$36*1440,0))))+(ROUND('Critères et poids'!$C$36*1440,0)+AI155+AJ155*60-ROUND('Critères et poids'!$C$37*1440,0)-INT((AI155+AJ155*60-ROUND('Critères et poids'!$C$37*1440,0)-1)/(ROUND('Critères et poids'!$C$37*1440,0)-ROUND('Critères et poids'!$C$36*1440,0)))*(ROUND('Critères et poids'!$C$37*1440,0)-ROUND('Critères et poids'!$C$36*1440,0)))/1440))</f>
        <v/>
      </c>
      <c r="X155" s="16" t="n"/>
      <c r="Y155" s="14">
        <f>IF(W155="","",IF(X155="",IF(NOW()&gt;W155,"En retard","En attente"),IF(X155&lt;=W155,"À temps","En retard")))</f>
        <v/>
      </c>
      <c r="Z155" s="17" t="n"/>
      <c r="AA155" s="14">
        <f>IF($B155="","",IF(OR(T155="X",AD155&lt;&gt;""),0,MAX(0,MIN(Q155,'Critères et poids'!$C$38*INT((TODAY()-IF(Z155&lt;&gt;"",Z155,INT($A155)))/7)))))</f>
        <v/>
      </c>
      <c r="AB155" s="14">
        <f>IF($B155="","",MAX(0,S155-AA155))</f>
        <v/>
      </c>
      <c r="AC155" s="9">
        <f>IF($B155="","",IF(T155="X","X",IF(AB155&gt;='Critères et poids'!$C$29,"A",IF(AB155&gt;='Critères et poids'!$C$30,"B","C"))))</f>
        <v/>
      </c>
      <c r="AD155" s="4" t="n"/>
      <c r="AE155" s="18" t="n"/>
      <c r="AF155" s="6" t="n"/>
      <c r="AH155">
        <f>IF($A155="","",IF(OR(WEEKDAY($A155,2)&gt;5,ROUND(MOD($A155,1)*1440,0)&gt;=ROUND('Critères et poids'!$C$37*1440,0)),WORKDAY(INT($A155),1)+ROUND('Critères et poids'!$C$36*1440,0)/1440,IF(ROUND(MOD($A155,1)*1440,0)&lt;ROUND('Critères et poids'!$C$36*1440,0),INT($A155)+ROUND('Critères et poids'!$C$36*1440,0)/1440,$A155)))</f>
        <v/>
      </c>
      <c r="AI155">
        <f>IF(AH155="","",ROUND(MOD(AH155,1)*1440,0))</f>
        <v/>
      </c>
      <c r="AJ155">
        <f>IF(T155="","",INDEX('Critères et poids'!$E$29:$E$32,MATCH(T155,'Critères et poids'!$A$29:$A$32,0)))</f>
        <v/>
      </c>
    </row>
    <row r="156">
      <c r="A156" s="13" t="n"/>
      <c r="B156" s="6" t="n"/>
      <c r="C156" s="6" t="n"/>
      <c r="D156" s="4" t="n"/>
      <c r="E156" s="4" t="n"/>
      <c r="F156" s="4" t="n"/>
      <c r="G156" s="4" t="n"/>
      <c r="H156" s="4" t="n"/>
      <c r="I156" s="4" t="n"/>
      <c r="J156" s="4" t="n"/>
      <c r="K156" s="4" t="n"/>
      <c r="L156" s="4" t="n"/>
      <c r="M156" s="4" t="n"/>
      <c r="N156" s="6" t="n"/>
      <c r="O156" s="6" t="n"/>
      <c r="P156" s="14">
        <f>IF($B156="","",(E156="Clair")*'Critères et poids'!$G$5+(E156="Partiel")*'Critères et poids'!$G$5/2+(F156="Clair")*'Critères et poids'!$G$6+(F156="Partiel")*'Critères et poids'!$G$6/2+(G156="Clair")*'Critères et poids'!$G$7+(G156="Partiel")*'Critères et poids'!$G$7/2+(H156="Clair")*'Critères et poids'!$G$8+(H156="Partiel")*'Critères et poids'!$G$8/2)</f>
        <v/>
      </c>
      <c r="Q156" s="14">
        <f>IF($B156="","",(I156="Clair")*'Critères et poids'!$G$9+(I156="Partiel")*'Critères et poids'!$G$9/2+(J156="Clair")*'Critères et poids'!$G$10+(J156="Partiel")*'Critères et poids'!$G$10/2+(K156="Clair")*'Critères et poids'!$G$11+(K156="Partiel")*'Critères et poids'!$G$11/2+(L156="Clair")*'Critères et poids'!$G$12+(L156="Partiel")*'Critères et poids'!$G$12/2+(M156="Clair")*'Critères et poids'!$G$13+(M156="Partiel")*'Critères et poids'!$G$13/2)</f>
        <v/>
      </c>
      <c r="R156" s="14">
        <f>IF($B156="","",IFERROR(VLOOKUP(N156,'Critères et poids'!$B$17:$C$20,2,FALSE),0))</f>
        <v/>
      </c>
      <c r="S156" s="9">
        <f>IF($B156="","",MAX(0,P156+Q156+R156))</f>
        <v/>
      </c>
      <c r="T156" s="9">
        <f>IF($B156="","",IF(O156&lt;&gt;"","X",IF(S156&gt;='Critères et poids'!$C$29,"A",IF(S156&gt;='Critères et poids'!$C$30,"B","C"))))</f>
        <v/>
      </c>
      <c r="U156" s="14">
        <f>IF(T156="","",INDEX('Critères et poids'!$D$29:$D$32,MATCH(T156,'Critères et poids'!$A$29:$A$32,0)))</f>
        <v/>
      </c>
      <c r="V156" s="14">
        <f>IF(T156="","",INDEX('Critères et poids'!$F$29:$F$32,MATCH(T156,'Critères et poids'!$A$29:$A$32,0)))</f>
        <v/>
      </c>
      <c r="W156" s="15">
        <f>IF(OR(AH156="",AJ156=""),"",IF(AI156+AJ156*60&lt;=ROUND('Critères et poids'!$C$37*1440,0),INT(AH156)+(AI156+AJ156*60)/1440,WORKDAY(INT(AH156),1+INT((AI156+AJ156*60-ROUND('Critères et poids'!$C$37*1440,0)-1)/(ROUND('Critères et poids'!$C$37*1440,0)-ROUND('Critères et poids'!$C$36*1440,0))))+(ROUND('Critères et poids'!$C$36*1440,0)+AI156+AJ156*60-ROUND('Critères et poids'!$C$37*1440,0)-INT((AI156+AJ156*60-ROUND('Critères et poids'!$C$37*1440,0)-1)/(ROUND('Critères et poids'!$C$37*1440,0)-ROUND('Critères et poids'!$C$36*1440,0)))*(ROUND('Critères et poids'!$C$37*1440,0)-ROUND('Critères et poids'!$C$36*1440,0)))/1440))</f>
        <v/>
      </c>
      <c r="X156" s="16" t="n"/>
      <c r="Y156" s="14">
        <f>IF(W156="","",IF(X156="",IF(NOW()&gt;W156,"En retard","En attente"),IF(X156&lt;=W156,"À temps","En retard")))</f>
        <v/>
      </c>
      <c r="Z156" s="17" t="n"/>
      <c r="AA156" s="14">
        <f>IF($B156="","",IF(OR(T156="X",AD156&lt;&gt;""),0,MAX(0,MIN(Q156,'Critères et poids'!$C$38*INT((TODAY()-IF(Z156&lt;&gt;"",Z156,INT($A156)))/7)))))</f>
        <v/>
      </c>
      <c r="AB156" s="14">
        <f>IF($B156="","",MAX(0,S156-AA156))</f>
        <v/>
      </c>
      <c r="AC156" s="9">
        <f>IF($B156="","",IF(T156="X","X",IF(AB156&gt;='Critères et poids'!$C$29,"A",IF(AB156&gt;='Critères et poids'!$C$30,"B","C"))))</f>
        <v/>
      </c>
      <c r="AD156" s="4" t="n"/>
      <c r="AE156" s="18" t="n"/>
      <c r="AF156" s="6" t="n"/>
      <c r="AH156">
        <f>IF($A156="","",IF(OR(WEEKDAY($A156,2)&gt;5,ROUND(MOD($A156,1)*1440,0)&gt;=ROUND('Critères et poids'!$C$37*1440,0)),WORKDAY(INT($A156),1)+ROUND('Critères et poids'!$C$36*1440,0)/1440,IF(ROUND(MOD($A156,1)*1440,0)&lt;ROUND('Critères et poids'!$C$36*1440,0),INT($A156)+ROUND('Critères et poids'!$C$36*1440,0)/1440,$A156)))</f>
        <v/>
      </c>
      <c r="AI156">
        <f>IF(AH156="","",ROUND(MOD(AH156,1)*1440,0))</f>
        <v/>
      </c>
      <c r="AJ156">
        <f>IF(T156="","",INDEX('Critères et poids'!$E$29:$E$32,MATCH(T156,'Critères et poids'!$A$29:$A$32,0)))</f>
        <v/>
      </c>
    </row>
    <row r="157">
      <c r="A157" s="13" t="n"/>
      <c r="B157" s="6" t="n"/>
      <c r="C157" s="6" t="n"/>
      <c r="D157" s="4" t="n"/>
      <c r="E157" s="4" t="n"/>
      <c r="F157" s="4" t="n"/>
      <c r="G157" s="4" t="n"/>
      <c r="H157" s="4" t="n"/>
      <c r="I157" s="4" t="n"/>
      <c r="J157" s="4" t="n"/>
      <c r="K157" s="4" t="n"/>
      <c r="L157" s="4" t="n"/>
      <c r="M157" s="4" t="n"/>
      <c r="N157" s="6" t="n"/>
      <c r="O157" s="6" t="n"/>
      <c r="P157" s="14">
        <f>IF($B157="","",(E157="Clair")*'Critères et poids'!$G$5+(E157="Partiel")*'Critères et poids'!$G$5/2+(F157="Clair")*'Critères et poids'!$G$6+(F157="Partiel")*'Critères et poids'!$G$6/2+(G157="Clair")*'Critères et poids'!$G$7+(G157="Partiel")*'Critères et poids'!$G$7/2+(H157="Clair")*'Critères et poids'!$G$8+(H157="Partiel")*'Critères et poids'!$G$8/2)</f>
        <v/>
      </c>
      <c r="Q157" s="14">
        <f>IF($B157="","",(I157="Clair")*'Critères et poids'!$G$9+(I157="Partiel")*'Critères et poids'!$G$9/2+(J157="Clair")*'Critères et poids'!$G$10+(J157="Partiel")*'Critères et poids'!$G$10/2+(K157="Clair")*'Critères et poids'!$G$11+(K157="Partiel")*'Critères et poids'!$G$11/2+(L157="Clair")*'Critères et poids'!$G$12+(L157="Partiel")*'Critères et poids'!$G$12/2+(M157="Clair")*'Critères et poids'!$G$13+(M157="Partiel")*'Critères et poids'!$G$13/2)</f>
        <v/>
      </c>
      <c r="R157" s="14">
        <f>IF($B157="","",IFERROR(VLOOKUP(N157,'Critères et poids'!$B$17:$C$20,2,FALSE),0))</f>
        <v/>
      </c>
      <c r="S157" s="9">
        <f>IF($B157="","",MAX(0,P157+Q157+R157))</f>
        <v/>
      </c>
      <c r="T157" s="9">
        <f>IF($B157="","",IF(O157&lt;&gt;"","X",IF(S157&gt;='Critères et poids'!$C$29,"A",IF(S157&gt;='Critères et poids'!$C$30,"B","C"))))</f>
        <v/>
      </c>
      <c r="U157" s="14">
        <f>IF(T157="","",INDEX('Critères et poids'!$D$29:$D$32,MATCH(T157,'Critères et poids'!$A$29:$A$32,0)))</f>
        <v/>
      </c>
      <c r="V157" s="14">
        <f>IF(T157="","",INDEX('Critères et poids'!$F$29:$F$32,MATCH(T157,'Critères et poids'!$A$29:$A$32,0)))</f>
        <v/>
      </c>
      <c r="W157" s="15">
        <f>IF(OR(AH157="",AJ157=""),"",IF(AI157+AJ157*60&lt;=ROUND('Critères et poids'!$C$37*1440,0),INT(AH157)+(AI157+AJ157*60)/1440,WORKDAY(INT(AH157),1+INT((AI157+AJ157*60-ROUND('Critères et poids'!$C$37*1440,0)-1)/(ROUND('Critères et poids'!$C$37*1440,0)-ROUND('Critères et poids'!$C$36*1440,0))))+(ROUND('Critères et poids'!$C$36*1440,0)+AI157+AJ157*60-ROUND('Critères et poids'!$C$37*1440,0)-INT((AI157+AJ157*60-ROUND('Critères et poids'!$C$37*1440,0)-1)/(ROUND('Critères et poids'!$C$37*1440,0)-ROUND('Critères et poids'!$C$36*1440,0)))*(ROUND('Critères et poids'!$C$37*1440,0)-ROUND('Critères et poids'!$C$36*1440,0)))/1440))</f>
        <v/>
      </c>
      <c r="X157" s="16" t="n"/>
      <c r="Y157" s="14">
        <f>IF(W157="","",IF(X157="",IF(NOW()&gt;W157,"En retard","En attente"),IF(X157&lt;=W157,"À temps","En retard")))</f>
        <v/>
      </c>
      <c r="Z157" s="17" t="n"/>
      <c r="AA157" s="14">
        <f>IF($B157="","",IF(OR(T157="X",AD157&lt;&gt;""),0,MAX(0,MIN(Q157,'Critères et poids'!$C$38*INT((TODAY()-IF(Z157&lt;&gt;"",Z157,INT($A157)))/7)))))</f>
        <v/>
      </c>
      <c r="AB157" s="14">
        <f>IF($B157="","",MAX(0,S157-AA157))</f>
        <v/>
      </c>
      <c r="AC157" s="9">
        <f>IF($B157="","",IF(T157="X","X",IF(AB157&gt;='Critères et poids'!$C$29,"A",IF(AB157&gt;='Critères et poids'!$C$30,"B","C"))))</f>
        <v/>
      </c>
      <c r="AD157" s="4" t="n"/>
      <c r="AE157" s="18" t="n"/>
      <c r="AF157" s="6" t="n"/>
      <c r="AH157">
        <f>IF($A157="","",IF(OR(WEEKDAY($A157,2)&gt;5,ROUND(MOD($A157,1)*1440,0)&gt;=ROUND('Critères et poids'!$C$37*1440,0)),WORKDAY(INT($A157),1)+ROUND('Critères et poids'!$C$36*1440,0)/1440,IF(ROUND(MOD($A157,1)*1440,0)&lt;ROUND('Critères et poids'!$C$36*1440,0),INT($A157)+ROUND('Critères et poids'!$C$36*1440,0)/1440,$A157)))</f>
        <v/>
      </c>
      <c r="AI157">
        <f>IF(AH157="","",ROUND(MOD(AH157,1)*1440,0))</f>
        <v/>
      </c>
      <c r="AJ157">
        <f>IF(T157="","",INDEX('Critères et poids'!$E$29:$E$32,MATCH(T157,'Critères et poids'!$A$29:$A$32,0)))</f>
        <v/>
      </c>
    </row>
    <row r="158">
      <c r="A158" s="13" t="n"/>
      <c r="B158" s="6" t="n"/>
      <c r="C158" s="6" t="n"/>
      <c r="D158" s="4" t="n"/>
      <c r="E158" s="4" t="n"/>
      <c r="F158" s="4" t="n"/>
      <c r="G158" s="4" t="n"/>
      <c r="H158" s="4" t="n"/>
      <c r="I158" s="4" t="n"/>
      <c r="J158" s="4" t="n"/>
      <c r="K158" s="4" t="n"/>
      <c r="L158" s="4" t="n"/>
      <c r="M158" s="4" t="n"/>
      <c r="N158" s="6" t="n"/>
      <c r="O158" s="6" t="n"/>
      <c r="P158" s="14">
        <f>IF($B158="","",(E158="Clair")*'Critères et poids'!$G$5+(E158="Partiel")*'Critères et poids'!$G$5/2+(F158="Clair")*'Critères et poids'!$G$6+(F158="Partiel")*'Critères et poids'!$G$6/2+(G158="Clair")*'Critères et poids'!$G$7+(G158="Partiel")*'Critères et poids'!$G$7/2+(H158="Clair")*'Critères et poids'!$G$8+(H158="Partiel")*'Critères et poids'!$G$8/2)</f>
        <v/>
      </c>
      <c r="Q158" s="14">
        <f>IF($B158="","",(I158="Clair")*'Critères et poids'!$G$9+(I158="Partiel")*'Critères et poids'!$G$9/2+(J158="Clair")*'Critères et poids'!$G$10+(J158="Partiel")*'Critères et poids'!$G$10/2+(K158="Clair")*'Critères et poids'!$G$11+(K158="Partiel")*'Critères et poids'!$G$11/2+(L158="Clair")*'Critères et poids'!$G$12+(L158="Partiel")*'Critères et poids'!$G$12/2+(M158="Clair")*'Critères et poids'!$G$13+(M158="Partiel")*'Critères et poids'!$G$13/2)</f>
        <v/>
      </c>
      <c r="R158" s="14">
        <f>IF($B158="","",IFERROR(VLOOKUP(N158,'Critères et poids'!$B$17:$C$20,2,FALSE),0))</f>
        <v/>
      </c>
      <c r="S158" s="9">
        <f>IF($B158="","",MAX(0,P158+Q158+R158))</f>
        <v/>
      </c>
      <c r="T158" s="9">
        <f>IF($B158="","",IF(O158&lt;&gt;"","X",IF(S158&gt;='Critères et poids'!$C$29,"A",IF(S158&gt;='Critères et poids'!$C$30,"B","C"))))</f>
        <v/>
      </c>
      <c r="U158" s="14">
        <f>IF(T158="","",INDEX('Critères et poids'!$D$29:$D$32,MATCH(T158,'Critères et poids'!$A$29:$A$32,0)))</f>
        <v/>
      </c>
      <c r="V158" s="14">
        <f>IF(T158="","",INDEX('Critères et poids'!$F$29:$F$32,MATCH(T158,'Critères et poids'!$A$29:$A$32,0)))</f>
        <v/>
      </c>
      <c r="W158" s="15">
        <f>IF(OR(AH158="",AJ158=""),"",IF(AI158+AJ158*60&lt;=ROUND('Critères et poids'!$C$37*1440,0),INT(AH158)+(AI158+AJ158*60)/1440,WORKDAY(INT(AH158),1+INT((AI158+AJ158*60-ROUND('Critères et poids'!$C$37*1440,0)-1)/(ROUND('Critères et poids'!$C$37*1440,0)-ROUND('Critères et poids'!$C$36*1440,0))))+(ROUND('Critères et poids'!$C$36*1440,0)+AI158+AJ158*60-ROUND('Critères et poids'!$C$37*1440,0)-INT((AI158+AJ158*60-ROUND('Critères et poids'!$C$37*1440,0)-1)/(ROUND('Critères et poids'!$C$37*1440,0)-ROUND('Critères et poids'!$C$36*1440,0)))*(ROUND('Critères et poids'!$C$37*1440,0)-ROUND('Critères et poids'!$C$36*1440,0)))/1440))</f>
        <v/>
      </c>
      <c r="X158" s="16" t="n"/>
      <c r="Y158" s="14">
        <f>IF(W158="","",IF(X158="",IF(NOW()&gt;W158,"En retard","En attente"),IF(X158&lt;=W158,"À temps","En retard")))</f>
        <v/>
      </c>
      <c r="Z158" s="17" t="n"/>
      <c r="AA158" s="14">
        <f>IF($B158="","",IF(OR(T158="X",AD158&lt;&gt;""),0,MAX(0,MIN(Q158,'Critères et poids'!$C$38*INT((TODAY()-IF(Z158&lt;&gt;"",Z158,INT($A158)))/7)))))</f>
        <v/>
      </c>
      <c r="AB158" s="14">
        <f>IF($B158="","",MAX(0,S158-AA158))</f>
        <v/>
      </c>
      <c r="AC158" s="9">
        <f>IF($B158="","",IF(T158="X","X",IF(AB158&gt;='Critères et poids'!$C$29,"A",IF(AB158&gt;='Critères et poids'!$C$30,"B","C"))))</f>
        <v/>
      </c>
      <c r="AD158" s="4" t="n"/>
      <c r="AE158" s="18" t="n"/>
      <c r="AF158" s="6" t="n"/>
      <c r="AH158">
        <f>IF($A158="","",IF(OR(WEEKDAY($A158,2)&gt;5,ROUND(MOD($A158,1)*1440,0)&gt;=ROUND('Critères et poids'!$C$37*1440,0)),WORKDAY(INT($A158),1)+ROUND('Critères et poids'!$C$36*1440,0)/1440,IF(ROUND(MOD($A158,1)*1440,0)&lt;ROUND('Critères et poids'!$C$36*1440,0),INT($A158)+ROUND('Critères et poids'!$C$36*1440,0)/1440,$A158)))</f>
        <v/>
      </c>
      <c r="AI158">
        <f>IF(AH158="","",ROUND(MOD(AH158,1)*1440,0))</f>
        <v/>
      </c>
      <c r="AJ158">
        <f>IF(T158="","",INDEX('Critères et poids'!$E$29:$E$32,MATCH(T158,'Critères et poids'!$A$29:$A$32,0)))</f>
        <v/>
      </c>
    </row>
    <row r="159">
      <c r="A159" s="13" t="n"/>
      <c r="B159" s="6" t="n"/>
      <c r="C159" s="6" t="n"/>
      <c r="D159" s="4" t="n"/>
      <c r="E159" s="4" t="n"/>
      <c r="F159" s="4" t="n"/>
      <c r="G159" s="4" t="n"/>
      <c r="H159" s="4" t="n"/>
      <c r="I159" s="4" t="n"/>
      <c r="J159" s="4" t="n"/>
      <c r="K159" s="4" t="n"/>
      <c r="L159" s="4" t="n"/>
      <c r="M159" s="4" t="n"/>
      <c r="N159" s="6" t="n"/>
      <c r="O159" s="6" t="n"/>
      <c r="P159" s="14">
        <f>IF($B159="","",(E159="Clair")*'Critères et poids'!$G$5+(E159="Partiel")*'Critères et poids'!$G$5/2+(F159="Clair")*'Critères et poids'!$G$6+(F159="Partiel")*'Critères et poids'!$G$6/2+(G159="Clair")*'Critères et poids'!$G$7+(G159="Partiel")*'Critères et poids'!$G$7/2+(H159="Clair")*'Critères et poids'!$G$8+(H159="Partiel")*'Critères et poids'!$G$8/2)</f>
        <v/>
      </c>
      <c r="Q159" s="14">
        <f>IF($B159="","",(I159="Clair")*'Critères et poids'!$G$9+(I159="Partiel")*'Critères et poids'!$G$9/2+(J159="Clair")*'Critères et poids'!$G$10+(J159="Partiel")*'Critères et poids'!$G$10/2+(K159="Clair")*'Critères et poids'!$G$11+(K159="Partiel")*'Critères et poids'!$G$11/2+(L159="Clair")*'Critères et poids'!$G$12+(L159="Partiel")*'Critères et poids'!$G$12/2+(M159="Clair")*'Critères et poids'!$G$13+(M159="Partiel")*'Critères et poids'!$G$13/2)</f>
        <v/>
      </c>
      <c r="R159" s="14">
        <f>IF($B159="","",IFERROR(VLOOKUP(N159,'Critères et poids'!$B$17:$C$20,2,FALSE),0))</f>
        <v/>
      </c>
      <c r="S159" s="9">
        <f>IF($B159="","",MAX(0,P159+Q159+R159))</f>
        <v/>
      </c>
      <c r="T159" s="9">
        <f>IF($B159="","",IF(O159&lt;&gt;"","X",IF(S159&gt;='Critères et poids'!$C$29,"A",IF(S159&gt;='Critères et poids'!$C$30,"B","C"))))</f>
        <v/>
      </c>
      <c r="U159" s="14">
        <f>IF(T159="","",INDEX('Critères et poids'!$D$29:$D$32,MATCH(T159,'Critères et poids'!$A$29:$A$32,0)))</f>
        <v/>
      </c>
      <c r="V159" s="14">
        <f>IF(T159="","",INDEX('Critères et poids'!$F$29:$F$32,MATCH(T159,'Critères et poids'!$A$29:$A$32,0)))</f>
        <v/>
      </c>
      <c r="W159" s="15">
        <f>IF(OR(AH159="",AJ159=""),"",IF(AI159+AJ159*60&lt;=ROUND('Critères et poids'!$C$37*1440,0),INT(AH159)+(AI159+AJ159*60)/1440,WORKDAY(INT(AH159),1+INT((AI159+AJ159*60-ROUND('Critères et poids'!$C$37*1440,0)-1)/(ROUND('Critères et poids'!$C$37*1440,0)-ROUND('Critères et poids'!$C$36*1440,0))))+(ROUND('Critères et poids'!$C$36*1440,0)+AI159+AJ159*60-ROUND('Critères et poids'!$C$37*1440,0)-INT((AI159+AJ159*60-ROUND('Critères et poids'!$C$37*1440,0)-1)/(ROUND('Critères et poids'!$C$37*1440,0)-ROUND('Critères et poids'!$C$36*1440,0)))*(ROUND('Critères et poids'!$C$37*1440,0)-ROUND('Critères et poids'!$C$36*1440,0)))/1440))</f>
        <v/>
      </c>
      <c r="X159" s="16" t="n"/>
      <c r="Y159" s="14">
        <f>IF(W159="","",IF(X159="",IF(NOW()&gt;W159,"En retard","En attente"),IF(X159&lt;=W159,"À temps","En retard")))</f>
        <v/>
      </c>
      <c r="Z159" s="17" t="n"/>
      <c r="AA159" s="14">
        <f>IF($B159="","",IF(OR(T159="X",AD159&lt;&gt;""),0,MAX(0,MIN(Q159,'Critères et poids'!$C$38*INT((TODAY()-IF(Z159&lt;&gt;"",Z159,INT($A159)))/7)))))</f>
        <v/>
      </c>
      <c r="AB159" s="14">
        <f>IF($B159="","",MAX(0,S159-AA159))</f>
        <v/>
      </c>
      <c r="AC159" s="9">
        <f>IF($B159="","",IF(T159="X","X",IF(AB159&gt;='Critères et poids'!$C$29,"A",IF(AB159&gt;='Critères et poids'!$C$30,"B","C"))))</f>
        <v/>
      </c>
      <c r="AD159" s="4" t="n"/>
      <c r="AE159" s="18" t="n"/>
      <c r="AF159" s="6" t="n"/>
      <c r="AH159">
        <f>IF($A159="","",IF(OR(WEEKDAY($A159,2)&gt;5,ROUND(MOD($A159,1)*1440,0)&gt;=ROUND('Critères et poids'!$C$37*1440,0)),WORKDAY(INT($A159),1)+ROUND('Critères et poids'!$C$36*1440,0)/1440,IF(ROUND(MOD($A159,1)*1440,0)&lt;ROUND('Critères et poids'!$C$36*1440,0),INT($A159)+ROUND('Critères et poids'!$C$36*1440,0)/1440,$A159)))</f>
        <v/>
      </c>
      <c r="AI159">
        <f>IF(AH159="","",ROUND(MOD(AH159,1)*1440,0))</f>
        <v/>
      </c>
      <c r="AJ159">
        <f>IF(T159="","",INDEX('Critères et poids'!$E$29:$E$32,MATCH(T159,'Critères et poids'!$A$29:$A$32,0)))</f>
        <v/>
      </c>
    </row>
    <row r="160">
      <c r="A160" s="13" t="n"/>
      <c r="B160" s="6" t="n"/>
      <c r="C160" s="6" t="n"/>
      <c r="D160" s="4" t="n"/>
      <c r="E160" s="4" t="n"/>
      <c r="F160" s="4" t="n"/>
      <c r="G160" s="4" t="n"/>
      <c r="H160" s="4" t="n"/>
      <c r="I160" s="4" t="n"/>
      <c r="J160" s="4" t="n"/>
      <c r="K160" s="4" t="n"/>
      <c r="L160" s="4" t="n"/>
      <c r="M160" s="4" t="n"/>
      <c r="N160" s="6" t="n"/>
      <c r="O160" s="6" t="n"/>
      <c r="P160" s="14">
        <f>IF($B160="","",(E160="Clair")*'Critères et poids'!$G$5+(E160="Partiel")*'Critères et poids'!$G$5/2+(F160="Clair")*'Critères et poids'!$G$6+(F160="Partiel")*'Critères et poids'!$G$6/2+(G160="Clair")*'Critères et poids'!$G$7+(G160="Partiel")*'Critères et poids'!$G$7/2+(H160="Clair")*'Critères et poids'!$G$8+(H160="Partiel")*'Critères et poids'!$G$8/2)</f>
        <v/>
      </c>
      <c r="Q160" s="14">
        <f>IF($B160="","",(I160="Clair")*'Critères et poids'!$G$9+(I160="Partiel")*'Critères et poids'!$G$9/2+(J160="Clair")*'Critères et poids'!$G$10+(J160="Partiel")*'Critères et poids'!$G$10/2+(K160="Clair")*'Critères et poids'!$G$11+(K160="Partiel")*'Critères et poids'!$G$11/2+(L160="Clair")*'Critères et poids'!$G$12+(L160="Partiel")*'Critères et poids'!$G$12/2+(M160="Clair")*'Critères et poids'!$G$13+(M160="Partiel")*'Critères et poids'!$G$13/2)</f>
        <v/>
      </c>
      <c r="R160" s="14">
        <f>IF($B160="","",IFERROR(VLOOKUP(N160,'Critères et poids'!$B$17:$C$20,2,FALSE),0))</f>
        <v/>
      </c>
      <c r="S160" s="9">
        <f>IF($B160="","",MAX(0,P160+Q160+R160))</f>
        <v/>
      </c>
      <c r="T160" s="9">
        <f>IF($B160="","",IF(O160&lt;&gt;"","X",IF(S160&gt;='Critères et poids'!$C$29,"A",IF(S160&gt;='Critères et poids'!$C$30,"B","C"))))</f>
        <v/>
      </c>
      <c r="U160" s="14">
        <f>IF(T160="","",INDEX('Critères et poids'!$D$29:$D$32,MATCH(T160,'Critères et poids'!$A$29:$A$32,0)))</f>
        <v/>
      </c>
      <c r="V160" s="14">
        <f>IF(T160="","",INDEX('Critères et poids'!$F$29:$F$32,MATCH(T160,'Critères et poids'!$A$29:$A$32,0)))</f>
        <v/>
      </c>
      <c r="W160" s="15">
        <f>IF(OR(AH160="",AJ160=""),"",IF(AI160+AJ160*60&lt;=ROUND('Critères et poids'!$C$37*1440,0),INT(AH160)+(AI160+AJ160*60)/1440,WORKDAY(INT(AH160),1+INT((AI160+AJ160*60-ROUND('Critères et poids'!$C$37*1440,0)-1)/(ROUND('Critères et poids'!$C$37*1440,0)-ROUND('Critères et poids'!$C$36*1440,0))))+(ROUND('Critères et poids'!$C$36*1440,0)+AI160+AJ160*60-ROUND('Critères et poids'!$C$37*1440,0)-INT((AI160+AJ160*60-ROUND('Critères et poids'!$C$37*1440,0)-1)/(ROUND('Critères et poids'!$C$37*1440,0)-ROUND('Critères et poids'!$C$36*1440,0)))*(ROUND('Critères et poids'!$C$37*1440,0)-ROUND('Critères et poids'!$C$36*1440,0)))/1440))</f>
        <v/>
      </c>
      <c r="X160" s="16" t="n"/>
      <c r="Y160" s="14">
        <f>IF(W160="","",IF(X160="",IF(NOW()&gt;W160,"En retard","En attente"),IF(X160&lt;=W160,"À temps","En retard")))</f>
        <v/>
      </c>
      <c r="Z160" s="17" t="n"/>
      <c r="AA160" s="14">
        <f>IF($B160="","",IF(OR(T160="X",AD160&lt;&gt;""),0,MAX(0,MIN(Q160,'Critères et poids'!$C$38*INT((TODAY()-IF(Z160&lt;&gt;"",Z160,INT($A160)))/7)))))</f>
        <v/>
      </c>
      <c r="AB160" s="14">
        <f>IF($B160="","",MAX(0,S160-AA160))</f>
        <v/>
      </c>
      <c r="AC160" s="9">
        <f>IF($B160="","",IF(T160="X","X",IF(AB160&gt;='Critères et poids'!$C$29,"A",IF(AB160&gt;='Critères et poids'!$C$30,"B","C"))))</f>
        <v/>
      </c>
      <c r="AD160" s="4" t="n"/>
      <c r="AE160" s="18" t="n"/>
      <c r="AF160" s="6" t="n"/>
      <c r="AH160">
        <f>IF($A160="","",IF(OR(WEEKDAY($A160,2)&gt;5,ROUND(MOD($A160,1)*1440,0)&gt;=ROUND('Critères et poids'!$C$37*1440,0)),WORKDAY(INT($A160),1)+ROUND('Critères et poids'!$C$36*1440,0)/1440,IF(ROUND(MOD($A160,1)*1440,0)&lt;ROUND('Critères et poids'!$C$36*1440,0),INT($A160)+ROUND('Critères et poids'!$C$36*1440,0)/1440,$A160)))</f>
        <v/>
      </c>
      <c r="AI160">
        <f>IF(AH160="","",ROUND(MOD(AH160,1)*1440,0))</f>
        <v/>
      </c>
      <c r="AJ160">
        <f>IF(T160="","",INDEX('Critères et poids'!$E$29:$E$32,MATCH(T160,'Critères et poids'!$A$29:$A$32,0)))</f>
        <v/>
      </c>
    </row>
    <row r="161">
      <c r="A161" s="13" t="n"/>
      <c r="B161" s="6" t="n"/>
      <c r="C161" s="6" t="n"/>
      <c r="D161" s="4" t="n"/>
      <c r="E161" s="4" t="n"/>
      <c r="F161" s="4" t="n"/>
      <c r="G161" s="4" t="n"/>
      <c r="H161" s="4" t="n"/>
      <c r="I161" s="4" t="n"/>
      <c r="J161" s="4" t="n"/>
      <c r="K161" s="4" t="n"/>
      <c r="L161" s="4" t="n"/>
      <c r="M161" s="4" t="n"/>
      <c r="N161" s="6" t="n"/>
      <c r="O161" s="6" t="n"/>
      <c r="P161" s="14">
        <f>IF($B161="","",(E161="Clair")*'Critères et poids'!$G$5+(E161="Partiel")*'Critères et poids'!$G$5/2+(F161="Clair")*'Critères et poids'!$G$6+(F161="Partiel")*'Critères et poids'!$G$6/2+(G161="Clair")*'Critères et poids'!$G$7+(G161="Partiel")*'Critères et poids'!$G$7/2+(H161="Clair")*'Critères et poids'!$G$8+(H161="Partiel")*'Critères et poids'!$G$8/2)</f>
        <v/>
      </c>
      <c r="Q161" s="14">
        <f>IF($B161="","",(I161="Clair")*'Critères et poids'!$G$9+(I161="Partiel")*'Critères et poids'!$G$9/2+(J161="Clair")*'Critères et poids'!$G$10+(J161="Partiel")*'Critères et poids'!$G$10/2+(K161="Clair")*'Critères et poids'!$G$11+(K161="Partiel")*'Critères et poids'!$G$11/2+(L161="Clair")*'Critères et poids'!$G$12+(L161="Partiel")*'Critères et poids'!$G$12/2+(M161="Clair")*'Critères et poids'!$G$13+(M161="Partiel")*'Critères et poids'!$G$13/2)</f>
        <v/>
      </c>
      <c r="R161" s="14">
        <f>IF($B161="","",IFERROR(VLOOKUP(N161,'Critères et poids'!$B$17:$C$20,2,FALSE),0))</f>
        <v/>
      </c>
      <c r="S161" s="9">
        <f>IF($B161="","",MAX(0,P161+Q161+R161))</f>
        <v/>
      </c>
      <c r="T161" s="9">
        <f>IF($B161="","",IF(O161&lt;&gt;"","X",IF(S161&gt;='Critères et poids'!$C$29,"A",IF(S161&gt;='Critères et poids'!$C$30,"B","C"))))</f>
        <v/>
      </c>
      <c r="U161" s="14">
        <f>IF(T161="","",INDEX('Critères et poids'!$D$29:$D$32,MATCH(T161,'Critères et poids'!$A$29:$A$32,0)))</f>
        <v/>
      </c>
      <c r="V161" s="14">
        <f>IF(T161="","",INDEX('Critères et poids'!$F$29:$F$32,MATCH(T161,'Critères et poids'!$A$29:$A$32,0)))</f>
        <v/>
      </c>
      <c r="W161" s="15">
        <f>IF(OR(AH161="",AJ161=""),"",IF(AI161+AJ161*60&lt;=ROUND('Critères et poids'!$C$37*1440,0),INT(AH161)+(AI161+AJ161*60)/1440,WORKDAY(INT(AH161),1+INT((AI161+AJ161*60-ROUND('Critères et poids'!$C$37*1440,0)-1)/(ROUND('Critères et poids'!$C$37*1440,0)-ROUND('Critères et poids'!$C$36*1440,0))))+(ROUND('Critères et poids'!$C$36*1440,0)+AI161+AJ161*60-ROUND('Critères et poids'!$C$37*1440,0)-INT((AI161+AJ161*60-ROUND('Critères et poids'!$C$37*1440,0)-1)/(ROUND('Critères et poids'!$C$37*1440,0)-ROUND('Critères et poids'!$C$36*1440,0)))*(ROUND('Critères et poids'!$C$37*1440,0)-ROUND('Critères et poids'!$C$36*1440,0)))/1440))</f>
        <v/>
      </c>
      <c r="X161" s="16" t="n"/>
      <c r="Y161" s="14">
        <f>IF(W161="","",IF(X161="",IF(NOW()&gt;W161,"En retard","En attente"),IF(X161&lt;=W161,"À temps","En retard")))</f>
        <v/>
      </c>
      <c r="Z161" s="17" t="n"/>
      <c r="AA161" s="14">
        <f>IF($B161="","",IF(OR(T161="X",AD161&lt;&gt;""),0,MAX(0,MIN(Q161,'Critères et poids'!$C$38*INT((TODAY()-IF(Z161&lt;&gt;"",Z161,INT($A161)))/7)))))</f>
        <v/>
      </c>
      <c r="AB161" s="14">
        <f>IF($B161="","",MAX(0,S161-AA161))</f>
        <v/>
      </c>
      <c r="AC161" s="9">
        <f>IF($B161="","",IF(T161="X","X",IF(AB161&gt;='Critères et poids'!$C$29,"A",IF(AB161&gt;='Critères et poids'!$C$30,"B","C"))))</f>
        <v/>
      </c>
      <c r="AD161" s="4" t="n"/>
      <c r="AE161" s="18" t="n"/>
      <c r="AF161" s="6" t="n"/>
      <c r="AH161">
        <f>IF($A161="","",IF(OR(WEEKDAY($A161,2)&gt;5,ROUND(MOD($A161,1)*1440,0)&gt;=ROUND('Critères et poids'!$C$37*1440,0)),WORKDAY(INT($A161),1)+ROUND('Critères et poids'!$C$36*1440,0)/1440,IF(ROUND(MOD($A161,1)*1440,0)&lt;ROUND('Critères et poids'!$C$36*1440,0),INT($A161)+ROUND('Critères et poids'!$C$36*1440,0)/1440,$A161)))</f>
        <v/>
      </c>
      <c r="AI161">
        <f>IF(AH161="","",ROUND(MOD(AH161,1)*1440,0))</f>
        <v/>
      </c>
      <c r="AJ161">
        <f>IF(T161="","",INDEX('Critères et poids'!$E$29:$E$32,MATCH(T161,'Critères et poids'!$A$29:$A$32,0)))</f>
        <v/>
      </c>
    </row>
    <row r="162">
      <c r="A162" s="13" t="n"/>
      <c r="B162" s="6" t="n"/>
      <c r="C162" s="6" t="n"/>
      <c r="D162" s="4" t="n"/>
      <c r="E162" s="4" t="n"/>
      <c r="F162" s="4" t="n"/>
      <c r="G162" s="4" t="n"/>
      <c r="H162" s="4" t="n"/>
      <c r="I162" s="4" t="n"/>
      <c r="J162" s="4" t="n"/>
      <c r="K162" s="4" t="n"/>
      <c r="L162" s="4" t="n"/>
      <c r="M162" s="4" t="n"/>
      <c r="N162" s="6" t="n"/>
      <c r="O162" s="6" t="n"/>
      <c r="P162" s="14">
        <f>IF($B162="","",(E162="Clair")*'Critères et poids'!$G$5+(E162="Partiel")*'Critères et poids'!$G$5/2+(F162="Clair")*'Critères et poids'!$G$6+(F162="Partiel")*'Critères et poids'!$G$6/2+(G162="Clair")*'Critères et poids'!$G$7+(G162="Partiel")*'Critères et poids'!$G$7/2+(H162="Clair")*'Critères et poids'!$G$8+(H162="Partiel")*'Critères et poids'!$G$8/2)</f>
        <v/>
      </c>
      <c r="Q162" s="14">
        <f>IF($B162="","",(I162="Clair")*'Critères et poids'!$G$9+(I162="Partiel")*'Critères et poids'!$G$9/2+(J162="Clair")*'Critères et poids'!$G$10+(J162="Partiel")*'Critères et poids'!$G$10/2+(K162="Clair")*'Critères et poids'!$G$11+(K162="Partiel")*'Critères et poids'!$G$11/2+(L162="Clair")*'Critères et poids'!$G$12+(L162="Partiel")*'Critères et poids'!$G$12/2+(M162="Clair")*'Critères et poids'!$G$13+(M162="Partiel")*'Critères et poids'!$G$13/2)</f>
        <v/>
      </c>
      <c r="R162" s="14">
        <f>IF($B162="","",IFERROR(VLOOKUP(N162,'Critères et poids'!$B$17:$C$20,2,FALSE),0))</f>
        <v/>
      </c>
      <c r="S162" s="9">
        <f>IF($B162="","",MAX(0,P162+Q162+R162))</f>
        <v/>
      </c>
      <c r="T162" s="9">
        <f>IF($B162="","",IF(O162&lt;&gt;"","X",IF(S162&gt;='Critères et poids'!$C$29,"A",IF(S162&gt;='Critères et poids'!$C$30,"B","C"))))</f>
        <v/>
      </c>
      <c r="U162" s="14">
        <f>IF(T162="","",INDEX('Critères et poids'!$D$29:$D$32,MATCH(T162,'Critères et poids'!$A$29:$A$32,0)))</f>
        <v/>
      </c>
      <c r="V162" s="14">
        <f>IF(T162="","",INDEX('Critères et poids'!$F$29:$F$32,MATCH(T162,'Critères et poids'!$A$29:$A$32,0)))</f>
        <v/>
      </c>
      <c r="W162" s="15">
        <f>IF(OR(AH162="",AJ162=""),"",IF(AI162+AJ162*60&lt;=ROUND('Critères et poids'!$C$37*1440,0),INT(AH162)+(AI162+AJ162*60)/1440,WORKDAY(INT(AH162),1+INT((AI162+AJ162*60-ROUND('Critères et poids'!$C$37*1440,0)-1)/(ROUND('Critères et poids'!$C$37*1440,0)-ROUND('Critères et poids'!$C$36*1440,0))))+(ROUND('Critères et poids'!$C$36*1440,0)+AI162+AJ162*60-ROUND('Critères et poids'!$C$37*1440,0)-INT((AI162+AJ162*60-ROUND('Critères et poids'!$C$37*1440,0)-1)/(ROUND('Critères et poids'!$C$37*1440,0)-ROUND('Critères et poids'!$C$36*1440,0)))*(ROUND('Critères et poids'!$C$37*1440,0)-ROUND('Critères et poids'!$C$36*1440,0)))/1440))</f>
        <v/>
      </c>
      <c r="X162" s="16" t="n"/>
      <c r="Y162" s="14">
        <f>IF(W162="","",IF(X162="",IF(NOW()&gt;W162,"En retard","En attente"),IF(X162&lt;=W162,"À temps","En retard")))</f>
        <v/>
      </c>
      <c r="Z162" s="17" t="n"/>
      <c r="AA162" s="14">
        <f>IF($B162="","",IF(OR(T162="X",AD162&lt;&gt;""),0,MAX(0,MIN(Q162,'Critères et poids'!$C$38*INT((TODAY()-IF(Z162&lt;&gt;"",Z162,INT($A162)))/7)))))</f>
        <v/>
      </c>
      <c r="AB162" s="14">
        <f>IF($B162="","",MAX(0,S162-AA162))</f>
        <v/>
      </c>
      <c r="AC162" s="9">
        <f>IF($B162="","",IF(T162="X","X",IF(AB162&gt;='Critères et poids'!$C$29,"A",IF(AB162&gt;='Critères et poids'!$C$30,"B","C"))))</f>
        <v/>
      </c>
      <c r="AD162" s="4" t="n"/>
      <c r="AE162" s="18" t="n"/>
      <c r="AF162" s="6" t="n"/>
      <c r="AH162">
        <f>IF($A162="","",IF(OR(WEEKDAY($A162,2)&gt;5,ROUND(MOD($A162,1)*1440,0)&gt;=ROUND('Critères et poids'!$C$37*1440,0)),WORKDAY(INT($A162),1)+ROUND('Critères et poids'!$C$36*1440,0)/1440,IF(ROUND(MOD($A162,1)*1440,0)&lt;ROUND('Critères et poids'!$C$36*1440,0),INT($A162)+ROUND('Critères et poids'!$C$36*1440,0)/1440,$A162)))</f>
        <v/>
      </c>
      <c r="AI162">
        <f>IF(AH162="","",ROUND(MOD(AH162,1)*1440,0))</f>
        <v/>
      </c>
      <c r="AJ162">
        <f>IF(T162="","",INDEX('Critères et poids'!$E$29:$E$32,MATCH(T162,'Critères et poids'!$A$29:$A$32,0)))</f>
        <v/>
      </c>
    </row>
    <row r="163">
      <c r="A163" s="13" t="n"/>
      <c r="B163" s="6" t="n"/>
      <c r="C163" s="6" t="n"/>
      <c r="D163" s="4" t="n"/>
      <c r="E163" s="4" t="n"/>
      <c r="F163" s="4" t="n"/>
      <c r="G163" s="4" t="n"/>
      <c r="H163" s="4" t="n"/>
      <c r="I163" s="4" t="n"/>
      <c r="J163" s="4" t="n"/>
      <c r="K163" s="4" t="n"/>
      <c r="L163" s="4" t="n"/>
      <c r="M163" s="4" t="n"/>
      <c r="N163" s="6" t="n"/>
      <c r="O163" s="6" t="n"/>
      <c r="P163" s="14">
        <f>IF($B163="","",(E163="Clair")*'Critères et poids'!$G$5+(E163="Partiel")*'Critères et poids'!$G$5/2+(F163="Clair")*'Critères et poids'!$G$6+(F163="Partiel")*'Critères et poids'!$G$6/2+(G163="Clair")*'Critères et poids'!$G$7+(G163="Partiel")*'Critères et poids'!$G$7/2+(H163="Clair")*'Critères et poids'!$G$8+(H163="Partiel")*'Critères et poids'!$G$8/2)</f>
        <v/>
      </c>
      <c r="Q163" s="14">
        <f>IF($B163="","",(I163="Clair")*'Critères et poids'!$G$9+(I163="Partiel")*'Critères et poids'!$G$9/2+(J163="Clair")*'Critères et poids'!$G$10+(J163="Partiel")*'Critères et poids'!$G$10/2+(K163="Clair")*'Critères et poids'!$G$11+(K163="Partiel")*'Critères et poids'!$G$11/2+(L163="Clair")*'Critères et poids'!$G$12+(L163="Partiel")*'Critères et poids'!$G$12/2+(M163="Clair")*'Critères et poids'!$G$13+(M163="Partiel")*'Critères et poids'!$G$13/2)</f>
        <v/>
      </c>
      <c r="R163" s="14">
        <f>IF($B163="","",IFERROR(VLOOKUP(N163,'Critères et poids'!$B$17:$C$20,2,FALSE),0))</f>
        <v/>
      </c>
      <c r="S163" s="9">
        <f>IF($B163="","",MAX(0,P163+Q163+R163))</f>
        <v/>
      </c>
      <c r="T163" s="9">
        <f>IF($B163="","",IF(O163&lt;&gt;"","X",IF(S163&gt;='Critères et poids'!$C$29,"A",IF(S163&gt;='Critères et poids'!$C$30,"B","C"))))</f>
        <v/>
      </c>
      <c r="U163" s="14">
        <f>IF(T163="","",INDEX('Critères et poids'!$D$29:$D$32,MATCH(T163,'Critères et poids'!$A$29:$A$32,0)))</f>
        <v/>
      </c>
      <c r="V163" s="14">
        <f>IF(T163="","",INDEX('Critères et poids'!$F$29:$F$32,MATCH(T163,'Critères et poids'!$A$29:$A$32,0)))</f>
        <v/>
      </c>
      <c r="W163" s="15">
        <f>IF(OR(AH163="",AJ163=""),"",IF(AI163+AJ163*60&lt;=ROUND('Critères et poids'!$C$37*1440,0),INT(AH163)+(AI163+AJ163*60)/1440,WORKDAY(INT(AH163),1+INT((AI163+AJ163*60-ROUND('Critères et poids'!$C$37*1440,0)-1)/(ROUND('Critères et poids'!$C$37*1440,0)-ROUND('Critères et poids'!$C$36*1440,0))))+(ROUND('Critères et poids'!$C$36*1440,0)+AI163+AJ163*60-ROUND('Critères et poids'!$C$37*1440,0)-INT((AI163+AJ163*60-ROUND('Critères et poids'!$C$37*1440,0)-1)/(ROUND('Critères et poids'!$C$37*1440,0)-ROUND('Critères et poids'!$C$36*1440,0)))*(ROUND('Critères et poids'!$C$37*1440,0)-ROUND('Critères et poids'!$C$36*1440,0)))/1440))</f>
        <v/>
      </c>
      <c r="X163" s="16" t="n"/>
      <c r="Y163" s="14">
        <f>IF(W163="","",IF(X163="",IF(NOW()&gt;W163,"En retard","En attente"),IF(X163&lt;=W163,"À temps","En retard")))</f>
        <v/>
      </c>
      <c r="Z163" s="17" t="n"/>
      <c r="AA163" s="14">
        <f>IF($B163="","",IF(OR(T163="X",AD163&lt;&gt;""),0,MAX(0,MIN(Q163,'Critères et poids'!$C$38*INT((TODAY()-IF(Z163&lt;&gt;"",Z163,INT($A163)))/7)))))</f>
        <v/>
      </c>
      <c r="AB163" s="14">
        <f>IF($B163="","",MAX(0,S163-AA163))</f>
        <v/>
      </c>
      <c r="AC163" s="9">
        <f>IF($B163="","",IF(T163="X","X",IF(AB163&gt;='Critères et poids'!$C$29,"A",IF(AB163&gt;='Critères et poids'!$C$30,"B","C"))))</f>
        <v/>
      </c>
      <c r="AD163" s="4" t="n"/>
      <c r="AE163" s="18" t="n"/>
      <c r="AF163" s="6" t="n"/>
      <c r="AH163">
        <f>IF($A163="","",IF(OR(WEEKDAY($A163,2)&gt;5,ROUND(MOD($A163,1)*1440,0)&gt;=ROUND('Critères et poids'!$C$37*1440,0)),WORKDAY(INT($A163),1)+ROUND('Critères et poids'!$C$36*1440,0)/1440,IF(ROUND(MOD($A163,1)*1440,0)&lt;ROUND('Critères et poids'!$C$36*1440,0),INT($A163)+ROUND('Critères et poids'!$C$36*1440,0)/1440,$A163)))</f>
        <v/>
      </c>
      <c r="AI163">
        <f>IF(AH163="","",ROUND(MOD(AH163,1)*1440,0))</f>
        <v/>
      </c>
      <c r="AJ163">
        <f>IF(T163="","",INDEX('Critères et poids'!$E$29:$E$32,MATCH(T163,'Critères et poids'!$A$29:$A$32,0)))</f>
        <v/>
      </c>
    </row>
    <row r="164">
      <c r="A164" s="13" t="n"/>
      <c r="B164" s="6" t="n"/>
      <c r="C164" s="6" t="n"/>
      <c r="D164" s="4" t="n"/>
      <c r="E164" s="4" t="n"/>
      <c r="F164" s="4" t="n"/>
      <c r="G164" s="4" t="n"/>
      <c r="H164" s="4" t="n"/>
      <c r="I164" s="4" t="n"/>
      <c r="J164" s="4" t="n"/>
      <c r="K164" s="4" t="n"/>
      <c r="L164" s="4" t="n"/>
      <c r="M164" s="4" t="n"/>
      <c r="N164" s="6" t="n"/>
      <c r="O164" s="6" t="n"/>
      <c r="P164" s="14">
        <f>IF($B164="","",(E164="Clair")*'Critères et poids'!$G$5+(E164="Partiel")*'Critères et poids'!$G$5/2+(F164="Clair")*'Critères et poids'!$G$6+(F164="Partiel")*'Critères et poids'!$G$6/2+(G164="Clair")*'Critères et poids'!$G$7+(G164="Partiel")*'Critères et poids'!$G$7/2+(H164="Clair")*'Critères et poids'!$G$8+(H164="Partiel")*'Critères et poids'!$G$8/2)</f>
        <v/>
      </c>
      <c r="Q164" s="14">
        <f>IF($B164="","",(I164="Clair")*'Critères et poids'!$G$9+(I164="Partiel")*'Critères et poids'!$G$9/2+(J164="Clair")*'Critères et poids'!$G$10+(J164="Partiel")*'Critères et poids'!$G$10/2+(K164="Clair")*'Critères et poids'!$G$11+(K164="Partiel")*'Critères et poids'!$G$11/2+(L164="Clair")*'Critères et poids'!$G$12+(L164="Partiel")*'Critères et poids'!$G$12/2+(M164="Clair")*'Critères et poids'!$G$13+(M164="Partiel")*'Critères et poids'!$G$13/2)</f>
        <v/>
      </c>
      <c r="R164" s="14">
        <f>IF($B164="","",IFERROR(VLOOKUP(N164,'Critères et poids'!$B$17:$C$20,2,FALSE),0))</f>
        <v/>
      </c>
      <c r="S164" s="9">
        <f>IF($B164="","",MAX(0,P164+Q164+R164))</f>
        <v/>
      </c>
      <c r="T164" s="9">
        <f>IF($B164="","",IF(O164&lt;&gt;"","X",IF(S164&gt;='Critères et poids'!$C$29,"A",IF(S164&gt;='Critères et poids'!$C$30,"B","C"))))</f>
        <v/>
      </c>
      <c r="U164" s="14">
        <f>IF(T164="","",INDEX('Critères et poids'!$D$29:$D$32,MATCH(T164,'Critères et poids'!$A$29:$A$32,0)))</f>
        <v/>
      </c>
      <c r="V164" s="14">
        <f>IF(T164="","",INDEX('Critères et poids'!$F$29:$F$32,MATCH(T164,'Critères et poids'!$A$29:$A$32,0)))</f>
        <v/>
      </c>
      <c r="W164" s="15">
        <f>IF(OR(AH164="",AJ164=""),"",IF(AI164+AJ164*60&lt;=ROUND('Critères et poids'!$C$37*1440,0),INT(AH164)+(AI164+AJ164*60)/1440,WORKDAY(INT(AH164),1+INT((AI164+AJ164*60-ROUND('Critères et poids'!$C$37*1440,0)-1)/(ROUND('Critères et poids'!$C$37*1440,0)-ROUND('Critères et poids'!$C$36*1440,0))))+(ROUND('Critères et poids'!$C$36*1440,0)+AI164+AJ164*60-ROUND('Critères et poids'!$C$37*1440,0)-INT((AI164+AJ164*60-ROUND('Critères et poids'!$C$37*1440,0)-1)/(ROUND('Critères et poids'!$C$37*1440,0)-ROUND('Critères et poids'!$C$36*1440,0)))*(ROUND('Critères et poids'!$C$37*1440,0)-ROUND('Critères et poids'!$C$36*1440,0)))/1440))</f>
        <v/>
      </c>
      <c r="X164" s="16" t="n"/>
      <c r="Y164" s="14">
        <f>IF(W164="","",IF(X164="",IF(NOW()&gt;W164,"En retard","En attente"),IF(X164&lt;=W164,"À temps","En retard")))</f>
        <v/>
      </c>
      <c r="Z164" s="17" t="n"/>
      <c r="AA164" s="14">
        <f>IF($B164="","",IF(OR(T164="X",AD164&lt;&gt;""),0,MAX(0,MIN(Q164,'Critères et poids'!$C$38*INT((TODAY()-IF(Z164&lt;&gt;"",Z164,INT($A164)))/7)))))</f>
        <v/>
      </c>
      <c r="AB164" s="14">
        <f>IF($B164="","",MAX(0,S164-AA164))</f>
        <v/>
      </c>
      <c r="AC164" s="9">
        <f>IF($B164="","",IF(T164="X","X",IF(AB164&gt;='Critères et poids'!$C$29,"A",IF(AB164&gt;='Critères et poids'!$C$30,"B","C"))))</f>
        <v/>
      </c>
      <c r="AD164" s="4" t="n"/>
      <c r="AE164" s="18" t="n"/>
      <c r="AF164" s="6" t="n"/>
      <c r="AH164">
        <f>IF($A164="","",IF(OR(WEEKDAY($A164,2)&gt;5,ROUND(MOD($A164,1)*1440,0)&gt;=ROUND('Critères et poids'!$C$37*1440,0)),WORKDAY(INT($A164),1)+ROUND('Critères et poids'!$C$36*1440,0)/1440,IF(ROUND(MOD($A164,1)*1440,0)&lt;ROUND('Critères et poids'!$C$36*1440,0),INT($A164)+ROUND('Critères et poids'!$C$36*1440,0)/1440,$A164)))</f>
        <v/>
      </c>
      <c r="AI164">
        <f>IF(AH164="","",ROUND(MOD(AH164,1)*1440,0))</f>
        <v/>
      </c>
      <c r="AJ164">
        <f>IF(T164="","",INDEX('Critères et poids'!$E$29:$E$32,MATCH(T164,'Critères et poids'!$A$29:$A$32,0)))</f>
        <v/>
      </c>
    </row>
    <row r="165">
      <c r="A165" s="13" t="n"/>
      <c r="B165" s="6" t="n"/>
      <c r="C165" s="6" t="n"/>
      <c r="D165" s="4" t="n"/>
      <c r="E165" s="4" t="n"/>
      <c r="F165" s="4" t="n"/>
      <c r="G165" s="4" t="n"/>
      <c r="H165" s="4" t="n"/>
      <c r="I165" s="4" t="n"/>
      <c r="J165" s="4" t="n"/>
      <c r="K165" s="4" t="n"/>
      <c r="L165" s="4" t="n"/>
      <c r="M165" s="4" t="n"/>
      <c r="N165" s="6" t="n"/>
      <c r="O165" s="6" t="n"/>
      <c r="P165" s="14">
        <f>IF($B165="","",(E165="Clair")*'Critères et poids'!$G$5+(E165="Partiel")*'Critères et poids'!$G$5/2+(F165="Clair")*'Critères et poids'!$G$6+(F165="Partiel")*'Critères et poids'!$G$6/2+(G165="Clair")*'Critères et poids'!$G$7+(G165="Partiel")*'Critères et poids'!$G$7/2+(H165="Clair")*'Critères et poids'!$G$8+(H165="Partiel")*'Critères et poids'!$G$8/2)</f>
        <v/>
      </c>
      <c r="Q165" s="14">
        <f>IF($B165="","",(I165="Clair")*'Critères et poids'!$G$9+(I165="Partiel")*'Critères et poids'!$G$9/2+(J165="Clair")*'Critères et poids'!$G$10+(J165="Partiel")*'Critères et poids'!$G$10/2+(K165="Clair")*'Critères et poids'!$G$11+(K165="Partiel")*'Critères et poids'!$G$11/2+(L165="Clair")*'Critères et poids'!$G$12+(L165="Partiel")*'Critères et poids'!$G$12/2+(M165="Clair")*'Critères et poids'!$G$13+(M165="Partiel")*'Critères et poids'!$G$13/2)</f>
        <v/>
      </c>
      <c r="R165" s="14">
        <f>IF($B165="","",IFERROR(VLOOKUP(N165,'Critères et poids'!$B$17:$C$20,2,FALSE),0))</f>
        <v/>
      </c>
      <c r="S165" s="9">
        <f>IF($B165="","",MAX(0,P165+Q165+R165))</f>
        <v/>
      </c>
      <c r="T165" s="9">
        <f>IF($B165="","",IF(O165&lt;&gt;"","X",IF(S165&gt;='Critères et poids'!$C$29,"A",IF(S165&gt;='Critères et poids'!$C$30,"B","C"))))</f>
        <v/>
      </c>
      <c r="U165" s="14">
        <f>IF(T165="","",INDEX('Critères et poids'!$D$29:$D$32,MATCH(T165,'Critères et poids'!$A$29:$A$32,0)))</f>
        <v/>
      </c>
      <c r="V165" s="14">
        <f>IF(T165="","",INDEX('Critères et poids'!$F$29:$F$32,MATCH(T165,'Critères et poids'!$A$29:$A$32,0)))</f>
        <v/>
      </c>
      <c r="W165" s="15">
        <f>IF(OR(AH165="",AJ165=""),"",IF(AI165+AJ165*60&lt;=ROUND('Critères et poids'!$C$37*1440,0),INT(AH165)+(AI165+AJ165*60)/1440,WORKDAY(INT(AH165),1+INT((AI165+AJ165*60-ROUND('Critères et poids'!$C$37*1440,0)-1)/(ROUND('Critères et poids'!$C$37*1440,0)-ROUND('Critères et poids'!$C$36*1440,0))))+(ROUND('Critères et poids'!$C$36*1440,0)+AI165+AJ165*60-ROUND('Critères et poids'!$C$37*1440,0)-INT((AI165+AJ165*60-ROUND('Critères et poids'!$C$37*1440,0)-1)/(ROUND('Critères et poids'!$C$37*1440,0)-ROUND('Critères et poids'!$C$36*1440,0)))*(ROUND('Critères et poids'!$C$37*1440,0)-ROUND('Critères et poids'!$C$36*1440,0)))/1440))</f>
        <v/>
      </c>
      <c r="X165" s="16" t="n"/>
      <c r="Y165" s="14">
        <f>IF(W165="","",IF(X165="",IF(NOW()&gt;W165,"En retard","En attente"),IF(X165&lt;=W165,"À temps","En retard")))</f>
        <v/>
      </c>
      <c r="Z165" s="17" t="n"/>
      <c r="AA165" s="14">
        <f>IF($B165="","",IF(OR(T165="X",AD165&lt;&gt;""),0,MAX(0,MIN(Q165,'Critères et poids'!$C$38*INT((TODAY()-IF(Z165&lt;&gt;"",Z165,INT($A165)))/7)))))</f>
        <v/>
      </c>
      <c r="AB165" s="14">
        <f>IF($B165="","",MAX(0,S165-AA165))</f>
        <v/>
      </c>
      <c r="AC165" s="9">
        <f>IF($B165="","",IF(T165="X","X",IF(AB165&gt;='Critères et poids'!$C$29,"A",IF(AB165&gt;='Critères et poids'!$C$30,"B","C"))))</f>
        <v/>
      </c>
      <c r="AD165" s="4" t="n"/>
      <c r="AE165" s="18" t="n"/>
      <c r="AF165" s="6" t="n"/>
      <c r="AH165">
        <f>IF($A165="","",IF(OR(WEEKDAY($A165,2)&gt;5,ROUND(MOD($A165,1)*1440,0)&gt;=ROUND('Critères et poids'!$C$37*1440,0)),WORKDAY(INT($A165),1)+ROUND('Critères et poids'!$C$36*1440,0)/1440,IF(ROUND(MOD($A165,1)*1440,0)&lt;ROUND('Critères et poids'!$C$36*1440,0),INT($A165)+ROUND('Critères et poids'!$C$36*1440,0)/1440,$A165)))</f>
        <v/>
      </c>
      <c r="AI165">
        <f>IF(AH165="","",ROUND(MOD(AH165,1)*1440,0))</f>
        <v/>
      </c>
      <c r="AJ165">
        <f>IF(T165="","",INDEX('Critères et poids'!$E$29:$E$32,MATCH(T165,'Critères et poids'!$A$29:$A$32,0)))</f>
        <v/>
      </c>
    </row>
    <row r="166">
      <c r="A166" s="13" t="n"/>
      <c r="B166" s="6" t="n"/>
      <c r="C166" s="6" t="n"/>
      <c r="D166" s="4" t="n"/>
      <c r="E166" s="4" t="n"/>
      <c r="F166" s="4" t="n"/>
      <c r="G166" s="4" t="n"/>
      <c r="H166" s="4" t="n"/>
      <c r="I166" s="4" t="n"/>
      <c r="J166" s="4" t="n"/>
      <c r="K166" s="4" t="n"/>
      <c r="L166" s="4" t="n"/>
      <c r="M166" s="4" t="n"/>
      <c r="N166" s="6" t="n"/>
      <c r="O166" s="6" t="n"/>
      <c r="P166" s="14">
        <f>IF($B166="","",(E166="Clair")*'Critères et poids'!$G$5+(E166="Partiel")*'Critères et poids'!$G$5/2+(F166="Clair")*'Critères et poids'!$G$6+(F166="Partiel")*'Critères et poids'!$G$6/2+(G166="Clair")*'Critères et poids'!$G$7+(G166="Partiel")*'Critères et poids'!$G$7/2+(H166="Clair")*'Critères et poids'!$G$8+(H166="Partiel")*'Critères et poids'!$G$8/2)</f>
        <v/>
      </c>
      <c r="Q166" s="14">
        <f>IF($B166="","",(I166="Clair")*'Critères et poids'!$G$9+(I166="Partiel")*'Critères et poids'!$G$9/2+(J166="Clair")*'Critères et poids'!$G$10+(J166="Partiel")*'Critères et poids'!$G$10/2+(K166="Clair")*'Critères et poids'!$G$11+(K166="Partiel")*'Critères et poids'!$G$11/2+(L166="Clair")*'Critères et poids'!$G$12+(L166="Partiel")*'Critères et poids'!$G$12/2+(M166="Clair")*'Critères et poids'!$G$13+(M166="Partiel")*'Critères et poids'!$G$13/2)</f>
        <v/>
      </c>
      <c r="R166" s="14">
        <f>IF($B166="","",IFERROR(VLOOKUP(N166,'Critères et poids'!$B$17:$C$20,2,FALSE),0))</f>
        <v/>
      </c>
      <c r="S166" s="9">
        <f>IF($B166="","",MAX(0,P166+Q166+R166))</f>
        <v/>
      </c>
      <c r="T166" s="9">
        <f>IF($B166="","",IF(O166&lt;&gt;"","X",IF(S166&gt;='Critères et poids'!$C$29,"A",IF(S166&gt;='Critères et poids'!$C$30,"B","C"))))</f>
        <v/>
      </c>
      <c r="U166" s="14">
        <f>IF(T166="","",INDEX('Critères et poids'!$D$29:$D$32,MATCH(T166,'Critères et poids'!$A$29:$A$32,0)))</f>
        <v/>
      </c>
      <c r="V166" s="14">
        <f>IF(T166="","",INDEX('Critères et poids'!$F$29:$F$32,MATCH(T166,'Critères et poids'!$A$29:$A$32,0)))</f>
        <v/>
      </c>
      <c r="W166" s="15">
        <f>IF(OR(AH166="",AJ166=""),"",IF(AI166+AJ166*60&lt;=ROUND('Critères et poids'!$C$37*1440,0),INT(AH166)+(AI166+AJ166*60)/1440,WORKDAY(INT(AH166),1+INT((AI166+AJ166*60-ROUND('Critères et poids'!$C$37*1440,0)-1)/(ROUND('Critères et poids'!$C$37*1440,0)-ROUND('Critères et poids'!$C$36*1440,0))))+(ROUND('Critères et poids'!$C$36*1440,0)+AI166+AJ166*60-ROUND('Critères et poids'!$C$37*1440,0)-INT((AI166+AJ166*60-ROUND('Critères et poids'!$C$37*1440,0)-1)/(ROUND('Critères et poids'!$C$37*1440,0)-ROUND('Critères et poids'!$C$36*1440,0)))*(ROUND('Critères et poids'!$C$37*1440,0)-ROUND('Critères et poids'!$C$36*1440,0)))/1440))</f>
        <v/>
      </c>
      <c r="X166" s="16" t="n"/>
      <c r="Y166" s="14">
        <f>IF(W166="","",IF(X166="",IF(NOW()&gt;W166,"En retard","En attente"),IF(X166&lt;=W166,"À temps","En retard")))</f>
        <v/>
      </c>
      <c r="Z166" s="17" t="n"/>
      <c r="AA166" s="14">
        <f>IF($B166="","",IF(OR(T166="X",AD166&lt;&gt;""),0,MAX(0,MIN(Q166,'Critères et poids'!$C$38*INT((TODAY()-IF(Z166&lt;&gt;"",Z166,INT($A166)))/7)))))</f>
        <v/>
      </c>
      <c r="AB166" s="14">
        <f>IF($B166="","",MAX(0,S166-AA166))</f>
        <v/>
      </c>
      <c r="AC166" s="9">
        <f>IF($B166="","",IF(T166="X","X",IF(AB166&gt;='Critères et poids'!$C$29,"A",IF(AB166&gt;='Critères et poids'!$C$30,"B","C"))))</f>
        <v/>
      </c>
      <c r="AD166" s="4" t="n"/>
      <c r="AE166" s="18" t="n"/>
      <c r="AF166" s="6" t="n"/>
      <c r="AH166">
        <f>IF($A166="","",IF(OR(WEEKDAY($A166,2)&gt;5,ROUND(MOD($A166,1)*1440,0)&gt;=ROUND('Critères et poids'!$C$37*1440,0)),WORKDAY(INT($A166),1)+ROUND('Critères et poids'!$C$36*1440,0)/1440,IF(ROUND(MOD($A166,1)*1440,0)&lt;ROUND('Critères et poids'!$C$36*1440,0),INT($A166)+ROUND('Critères et poids'!$C$36*1440,0)/1440,$A166)))</f>
        <v/>
      </c>
      <c r="AI166">
        <f>IF(AH166="","",ROUND(MOD(AH166,1)*1440,0))</f>
        <v/>
      </c>
      <c r="AJ166">
        <f>IF(T166="","",INDEX('Critères et poids'!$E$29:$E$32,MATCH(T166,'Critères et poids'!$A$29:$A$32,0)))</f>
        <v/>
      </c>
    </row>
    <row r="167">
      <c r="A167" s="13" t="n"/>
      <c r="B167" s="6" t="n"/>
      <c r="C167" s="6" t="n"/>
      <c r="D167" s="4" t="n"/>
      <c r="E167" s="4" t="n"/>
      <c r="F167" s="4" t="n"/>
      <c r="G167" s="4" t="n"/>
      <c r="H167" s="4" t="n"/>
      <c r="I167" s="4" t="n"/>
      <c r="J167" s="4" t="n"/>
      <c r="K167" s="4" t="n"/>
      <c r="L167" s="4" t="n"/>
      <c r="M167" s="4" t="n"/>
      <c r="N167" s="6" t="n"/>
      <c r="O167" s="6" t="n"/>
      <c r="P167" s="14">
        <f>IF($B167="","",(E167="Clair")*'Critères et poids'!$G$5+(E167="Partiel")*'Critères et poids'!$G$5/2+(F167="Clair")*'Critères et poids'!$G$6+(F167="Partiel")*'Critères et poids'!$G$6/2+(G167="Clair")*'Critères et poids'!$G$7+(G167="Partiel")*'Critères et poids'!$G$7/2+(H167="Clair")*'Critères et poids'!$G$8+(H167="Partiel")*'Critères et poids'!$G$8/2)</f>
        <v/>
      </c>
      <c r="Q167" s="14">
        <f>IF($B167="","",(I167="Clair")*'Critères et poids'!$G$9+(I167="Partiel")*'Critères et poids'!$G$9/2+(J167="Clair")*'Critères et poids'!$G$10+(J167="Partiel")*'Critères et poids'!$G$10/2+(K167="Clair")*'Critères et poids'!$G$11+(K167="Partiel")*'Critères et poids'!$G$11/2+(L167="Clair")*'Critères et poids'!$G$12+(L167="Partiel")*'Critères et poids'!$G$12/2+(M167="Clair")*'Critères et poids'!$G$13+(M167="Partiel")*'Critères et poids'!$G$13/2)</f>
        <v/>
      </c>
      <c r="R167" s="14">
        <f>IF($B167="","",IFERROR(VLOOKUP(N167,'Critères et poids'!$B$17:$C$20,2,FALSE),0))</f>
        <v/>
      </c>
      <c r="S167" s="9">
        <f>IF($B167="","",MAX(0,P167+Q167+R167))</f>
        <v/>
      </c>
      <c r="T167" s="9">
        <f>IF($B167="","",IF(O167&lt;&gt;"","X",IF(S167&gt;='Critères et poids'!$C$29,"A",IF(S167&gt;='Critères et poids'!$C$30,"B","C"))))</f>
        <v/>
      </c>
      <c r="U167" s="14">
        <f>IF(T167="","",INDEX('Critères et poids'!$D$29:$D$32,MATCH(T167,'Critères et poids'!$A$29:$A$32,0)))</f>
        <v/>
      </c>
      <c r="V167" s="14">
        <f>IF(T167="","",INDEX('Critères et poids'!$F$29:$F$32,MATCH(T167,'Critères et poids'!$A$29:$A$32,0)))</f>
        <v/>
      </c>
      <c r="W167" s="15">
        <f>IF(OR(AH167="",AJ167=""),"",IF(AI167+AJ167*60&lt;=ROUND('Critères et poids'!$C$37*1440,0),INT(AH167)+(AI167+AJ167*60)/1440,WORKDAY(INT(AH167),1+INT((AI167+AJ167*60-ROUND('Critères et poids'!$C$37*1440,0)-1)/(ROUND('Critères et poids'!$C$37*1440,0)-ROUND('Critères et poids'!$C$36*1440,0))))+(ROUND('Critères et poids'!$C$36*1440,0)+AI167+AJ167*60-ROUND('Critères et poids'!$C$37*1440,0)-INT((AI167+AJ167*60-ROUND('Critères et poids'!$C$37*1440,0)-1)/(ROUND('Critères et poids'!$C$37*1440,0)-ROUND('Critères et poids'!$C$36*1440,0)))*(ROUND('Critères et poids'!$C$37*1440,0)-ROUND('Critères et poids'!$C$36*1440,0)))/1440))</f>
        <v/>
      </c>
      <c r="X167" s="16" t="n"/>
      <c r="Y167" s="14">
        <f>IF(W167="","",IF(X167="",IF(NOW()&gt;W167,"En retard","En attente"),IF(X167&lt;=W167,"À temps","En retard")))</f>
        <v/>
      </c>
      <c r="Z167" s="17" t="n"/>
      <c r="AA167" s="14">
        <f>IF($B167="","",IF(OR(T167="X",AD167&lt;&gt;""),0,MAX(0,MIN(Q167,'Critères et poids'!$C$38*INT((TODAY()-IF(Z167&lt;&gt;"",Z167,INT($A167)))/7)))))</f>
        <v/>
      </c>
      <c r="AB167" s="14">
        <f>IF($B167="","",MAX(0,S167-AA167))</f>
        <v/>
      </c>
      <c r="AC167" s="9">
        <f>IF($B167="","",IF(T167="X","X",IF(AB167&gt;='Critères et poids'!$C$29,"A",IF(AB167&gt;='Critères et poids'!$C$30,"B","C"))))</f>
        <v/>
      </c>
      <c r="AD167" s="4" t="n"/>
      <c r="AE167" s="18" t="n"/>
      <c r="AF167" s="6" t="n"/>
      <c r="AH167">
        <f>IF($A167="","",IF(OR(WEEKDAY($A167,2)&gt;5,ROUND(MOD($A167,1)*1440,0)&gt;=ROUND('Critères et poids'!$C$37*1440,0)),WORKDAY(INT($A167),1)+ROUND('Critères et poids'!$C$36*1440,0)/1440,IF(ROUND(MOD($A167,1)*1440,0)&lt;ROUND('Critères et poids'!$C$36*1440,0),INT($A167)+ROUND('Critères et poids'!$C$36*1440,0)/1440,$A167)))</f>
        <v/>
      </c>
      <c r="AI167">
        <f>IF(AH167="","",ROUND(MOD(AH167,1)*1440,0))</f>
        <v/>
      </c>
      <c r="AJ167">
        <f>IF(T167="","",INDEX('Critères et poids'!$E$29:$E$32,MATCH(T167,'Critères et poids'!$A$29:$A$32,0)))</f>
        <v/>
      </c>
    </row>
    <row r="168">
      <c r="A168" s="13" t="n"/>
      <c r="B168" s="6" t="n"/>
      <c r="C168" s="6" t="n"/>
      <c r="D168" s="4" t="n"/>
      <c r="E168" s="4" t="n"/>
      <c r="F168" s="4" t="n"/>
      <c r="G168" s="4" t="n"/>
      <c r="H168" s="4" t="n"/>
      <c r="I168" s="4" t="n"/>
      <c r="J168" s="4" t="n"/>
      <c r="K168" s="4" t="n"/>
      <c r="L168" s="4" t="n"/>
      <c r="M168" s="4" t="n"/>
      <c r="N168" s="6" t="n"/>
      <c r="O168" s="6" t="n"/>
      <c r="P168" s="14">
        <f>IF($B168="","",(E168="Clair")*'Critères et poids'!$G$5+(E168="Partiel")*'Critères et poids'!$G$5/2+(F168="Clair")*'Critères et poids'!$G$6+(F168="Partiel")*'Critères et poids'!$G$6/2+(G168="Clair")*'Critères et poids'!$G$7+(G168="Partiel")*'Critères et poids'!$G$7/2+(H168="Clair")*'Critères et poids'!$G$8+(H168="Partiel")*'Critères et poids'!$G$8/2)</f>
        <v/>
      </c>
      <c r="Q168" s="14">
        <f>IF($B168="","",(I168="Clair")*'Critères et poids'!$G$9+(I168="Partiel")*'Critères et poids'!$G$9/2+(J168="Clair")*'Critères et poids'!$G$10+(J168="Partiel")*'Critères et poids'!$G$10/2+(K168="Clair")*'Critères et poids'!$G$11+(K168="Partiel")*'Critères et poids'!$G$11/2+(L168="Clair")*'Critères et poids'!$G$12+(L168="Partiel")*'Critères et poids'!$G$12/2+(M168="Clair")*'Critères et poids'!$G$13+(M168="Partiel")*'Critères et poids'!$G$13/2)</f>
        <v/>
      </c>
      <c r="R168" s="14">
        <f>IF($B168="","",IFERROR(VLOOKUP(N168,'Critères et poids'!$B$17:$C$20,2,FALSE),0))</f>
        <v/>
      </c>
      <c r="S168" s="9">
        <f>IF($B168="","",MAX(0,P168+Q168+R168))</f>
        <v/>
      </c>
      <c r="T168" s="9">
        <f>IF($B168="","",IF(O168&lt;&gt;"","X",IF(S168&gt;='Critères et poids'!$C$29,"A",IF(S168&gt;='Critères et poids'!$C$30,"B","C"))))</f>
        <v/>
      </c>
      <c r="U168" s="14">
        <f>IF(T168="","",INDEX('Critères et poids'!$D$29:$D$32,MATCH(T168,'Critères et poids'!$A$29:$A$32,0)))</f>
        <v/>
      </c>
      <c r="V168" s="14">
        <f>IF(T168="","",INDEX('Critères et poids'!$F$29:$F$32,MATCH(T168,'Critères et poids'!$A$29:$A$32,0)))</f>
        <v/>
      </c>
      <c r="W168" s="15">
        <f>IF(OR(AH168="",AJ168=""),"",IF(AI168+AJ168*60&lt;=ROUND('Critères et poids'!$C$37*1440,0),INT(AH168)+(AI168+AJ168*60)/1440,WORKDAY(INT(AH168),1+INT((AI168+AJ168*60-ROUND('Critères et poids'!$C$37*1440,0)-1)/(ROUND('Critères et poids'!$C$37*1440,0)-ROUND('Critères et poids'!$C$36*1440,0))))+(ROUND('Critères et poids'!$C$36*1440,0)+AI168+AJ168*60-ROUND('Critères et poids'!$C$37*1440,0)-INT((AI168+AJ168*60-ROUND('Critères et poids'!$C$37*1440,0)-1)/(ROUND('Critères et poids'!$C$37*1440,0)-ROUND('Critères et poids'!$C$36*1440,0)))*(ROUND('Critères et poids'!$C$37*1440,0)-ROUND('Critères et poids'!$C$36*1440,0)))/1440))</f>
        <v/>
      </c>
      <c r="X168" s="16" t="n"/>
      <c r="Y168" s="14">
        <f>IF(W168="","",IF(X168="",IF(NOW()&gt;W168,"En retard","En attente"),IF(X168&lt;=W168,"À temps","En retard")))</f>
        <v/>
      </c>
      <c r="Z168" s="17" t="n"/>
      <c r="AA168" s="14">
        <f>IF($B168="","",IF(OR(T168="X",AD168&lt;&gt;""),0,MAX(0,MIN(Q168,'Critères et poids'!$C$38*INT((TODAY()-IF(Z168&lt;&gt;"",Z168,INT($A168)))/7)))))</f>
        <v/>
      </c>
      <c r="AB168" s="14">
        <f>IF($B168="","",MAX(0,S168-AA168))</f>
        <v/>
      </c>
      <c r="AC168" s="9">
        <f>IF($B168="","",IF(T168="X","X",IF(AB168&gt;='Critères et poids'!$C$29,"A",IF(AB168&gt;='Critères et poids'!$C$30,"B","C"))))</f>
        <v/>
      </c>
      <c r="AD168" s="4" t="n"/>
      <c r="AE168" s="18" t="n"/>
      <c r="AF168" s="6" t="n"/>
      <c r="AH168">
        <f>IF($A168="","",IF(OR(WEEKDAY($A168,2)&gt;5,ROUND(MOD($A168,1)*1440,0)&gt;=ROUND('Critères et poids'!$C$37*1440,0)),WORKDAY(INT($A168),1)+ROUND('Critères et poids'!$C$36*1440,0)/1440,IF(ROUND(MOD($A168,1)*1440,0)&lt;ROUND('Critères et poids'!$C$36*1440,0),INT($A168)+ROUND('Critères et poids'!$C$36*1440,0)/1440,$A168)))</f>
        <v/>
      </c>
      <c r="AI168">
        <f>IF(AH168="","",ROUND(MOD(AH168,1)*1440,0))</f>
        <v/>
      </c>
      <c r="AJ168">
        <f>IF(T168="","",INDEX('Critères et poids'!$E$29:$E$32,MATCH(T168,'Critères et poids'!$A$29:$A$32,0)))</f>
        <v/>
      </c>
    </row>
    <row r="169">
      <c r="A169" s="13" t="n"/>
      <c r="B169" s="6" t="n"/>
      <c r="C169" s="6" t="n"/>
      <c r="D169" s="4" t="n"/>
      <c r="E169" s="4" t="n"/>
      <c r="F169" s="4" t="n"/>
      <c r="G169" s="4" t="n"/>
      <c r="H169" s="4" t="n"/>
      <c r="I169" s="4" t="n"/>
      <c r="J169" s="4" t="n"/>
      <c r="K169" s="4" t="n"/>
      <c r="L169" s="4" t="n"/>
      <c r="M169" s="4" t="n"/>
      <c r="N169" s="6" t="n"/>
      <c r="O169" s="6" t="n"/>
      <c r="P169" s="14">
        <f>IF($B169="","",(E169="Clair")*'Critères et poids'!$G$5+(E169="Partiel")*'Critères et poids'!$G$5/2+(F169="Clair")*'Critères et poids'!$G$6+(F169="Partiel")*'Critères et poids'!$G$6/2+(G169="Clair")*'Critères et poids'!$G$7+(G169="Partiel")*'Critères et poids'!$G$7/2+(H169="Clair")*'Critères et poids'!$G$8+(H169="Partiel")*'Critères et poids'!$G$8/2)</f>
        <v/>
      </c>
      <c r="Q169" s="14">
        <f>IF($B169="","",(I169="Clair")*'Critères et poids'!$G$9+(I169="Partiel")*'Critères et poids'!$G$9/2+(J169="Clair")*'Critères et poids'!$G$10+(J169="Partiel")*'Critères et poids'!$G$10/2+(K169="Clair")*'Critères et poids'!$G$11+(K169="Partiel")*'Critères et poids'!$G$11/2+(L169="Clair")*'Critères et poids'!$G$12+(L169="Partiel")*'Critères et poids'!$G$12/2+(M169="Clair")*'Critères et poids'!$G$13+(M169="Partiel")*'Critères et poids'!$G$13/2)</f>
        <v/>
      </c>
      <c r="R169" s="14">
        <f>IF($B169="","",IFERROR(VLOOKUP(N169,'Critères et poids'!$B$17:$C$20,2,FALSE),0))</f>
        <v/>
      </c>
      <c r="S169" s="9">
        <f>IF($B169="","",MAX(0,P169+Q169+R169))</f>
        <v/>
      </c>
      <c r="T169" s="9">
        <f>IF($B169="","",IF(O169&lt;&gt;"","X",IF(S169&gt;='Critères et poids'!$C$29,"A",IF(S169&gt;='Critères et poids'!$C$30,"B","C"))))</f>
        <v/>
      </c>
      <c r="U169" s="14">
        <f>IF(T169="","",INDEX('Critères et poids'!$D$29:$D$32,MATCH(T169,'Critères et poids'!$A$29:$A$32,0)))</f>
        <v/>
      </c>
      <c r="V169" s="14">
        <f>IF(T169="","",INDEX('Critères et poids'!$F$29:$F$32,MATCH(T169,'Critères et poids'!$A$29:$A$32,0)))</f>
        <v/>
      </c>
      <c r="W169" s="15">
        <f>IF(OR(AH169="",AJ169=""),"",IF(AI169+AJ169*60&lt;=ROUND('Critères et poids'!$C$37*1440,0),INT(AH169)+(AI169+AJ169*60)/1440,WORKDAY(INT(AH169),1+INT((AI169+AJ169*60-ROUND('Critères et poids'!$C$37*1440,0)-1)/(ROUND('Critères et poids'!$C$37*1440,0)-ROUND('Critères et poids'!$C$36*1440,0))))+(ROUND('Critères et poids'!$C$36*1440,0)+AI169+AJ169*60-ROUND('Critères et poids'!$C$37*1440,0)-INT((AI169+AJ169*60-ROUND('Critères et poids'!$C$37*1440,0)-1)/(ROUND('Critères et poids'!$C$37*1440,0)-ROUND('Critères et poids'!$C$36*1440,0)))*(ROUND('Critères et poids'!$C$37*1440,0)-ROUND('Critères et poids'!$C$36*1440,0)))/1440))</f>
        <v/>
      </c>
      <c r="X169" s="16" t="n"/>
      <c r="Y169" s="14">
        <f>IF(W169="","",IF(X169="",IF(NOW()&gt;W169,"En retard","En attente"),IF(X169&lt;=W169,"À temps","En retard")))</f>
        <v/>
      </c>
      <c r="Z169" s="17" t="n"/>
      <c r="AA169" s="14">
        <f>IF($B169="","",IF(OR(T169="X",AD169&lt;&gt;""),0,MAX(0,MIN(Q169,'Critères et poids'!$C$38*INT((TODAY()-IF(Z169&lt;&gt;"",Z169,INT($A169)))/7)))))</f>
        <v/>
      </c>
      <c r="AB169" s="14">
        <f>IF($B169="","",MAX(0,S169-AA169))</f>
        <v/>
      </c>
      <c r="AC169" s="9">
        <f>IF($B169="","",IF(T169="X","X",IF(AB169&gt;='Critères et poids'!$C$29,"A",IF(AB169&gt;='Critères et poids'!$C$30,"B","C"))))</f>
        <v/>
      </c>
      <c r="AD169" s="4" t="n"/>
      <c r="AE169" s="18" t="n"/>
      <c r="AF169" s="6" t="n"/>
      <c r="AH169">
        <f>IF($A169="","",IF(OR(WEEKDAY($A169,2)&gt;5,ROUND(MOD($A169,1)*1440,0)&gt;=ROUND('Critères et poids'!$C$37*1440,0)),WORKDAY(INT($A169),1)+ROUND('Critères et poids'!$C$36*1440,0)/1440,IF(ROUND(MOD($A169,1)*1440,0)&lt;ROUND('Critères et poids'!$C$36*1440,0),INT($A169)+ROUND('Critères et poids'!$C$36*1440,0)/1440,$A169)))</f>
        <v/>
      </c>
      <c r="AI169">
        <f>IF(AH169="","",ROUND(MOD(AH169,1)*1440,0))</f>
        <v/>
      </c>
      <c r="AJ169">
        <f>IF(T169="","",INDEX('Critères et poids'!$E$29:$E$32,MATCH(T169,'Critères et poids'!$A$29:$A$32,0)))</f>
        <v/>
      </c>
    </row>
    <row r="170">
      <c r="A170" s="13" t="n"/>
      <c r="B170" s="6" t="n"/>
      <c r="C170" s="6" t="n"/>
      <c r="D170" s="4" t="n"/>
      <c r="E170" s="4" t="n"/>
      <c r="F170" s="4" t="n"/>
      <c r="G170" s="4" t="n"/>
      <c r="H170" s="4" t="n"/>
      <c r="I170" s="4" t="n"/>
      <c r="J170" s="4" t="n"/>
      <c r="K170" s="4" t="n"/>
      <c r="L170" s="4" t="n"/>
      <c r="M170" s="4" t="n"/>
      <c r="N170" s="6" t="n"/>
      <c r="O170" s="6" t="n"/>
      <c r="P170" s="14">
        <f>IF($B170="","",(E170="Clair")*'Critères et poids'!$G$5+(E170="Partiel")*'Critères et poids'!$G$5/2+(F170="Clair")*'Critères et poids'!$G$6+(F170="Partiel")*'Critères et poids'!$G$6/2+(G170="Clair")*'Critères et poids'!$G$7+(G170="Partiel")*'Critères et poids'!$G$7/2+(H170="Clair")*'Critères et poids'!$G$8+(H170="Partiel")*'Critères et poids'!$G$8/2)</f>
        <v/>
      </c>
      <c r="Q170" s="14">
        <f>IF($B170="","",(I170="Clair")*'Critères et poids'!$G$9+(I170="Partiel")*'Critères et poids'!$G$9/2+(J170="Clair")*'Critères et poids'!$G$10+(J170="Partiel")*'Critères et poids'!$G$10/2+(K170="Clair")*'Critères et poids'!$G$11+(K170="Partiel")*'Critères et poids'!$G$11/2+(L170="Clair")*'Critères et poids'!$G$12+(L170="Partiel")*'Critères et poids'!$G$12/2+(M170="Clair")*'Critères et poids'!$G$13+(M170="Partiel")*'Critères et poids'!$G$13/2)</f>
        <v/>
      </c>
      <c r="R170" s="14">
        <f>IF($B170="","",IFERROR(VLOOKUP(N170,'Critères et poids'!$B$17:$C$20,2,FALSE),0))</f>
        <v/>
      </c>
      <c r="S170" s="9">
        <f>IF($B170="","",MAX(0,P170+Q170+R170))</f>
        <v/>
      </c>
      <c r="T170" s="9">
        <f>IF($B170="","",IF(O170&lt;&gt;"","X",IF(S170&gt;='Critères et poids'!$C$29,"A",IF(S170&gt;='Critères et poids'!$C$30,"B","C"))))</f>
        <v/>
      </c>
      <c r="U170" s="14">
        <f>IF(T170="","",INDEX('Critères et poids'!$D$29:$D$32,MATCH(T170,'Critères et poids'!$A$29:$A$32,0)))</f>
        <v/>
      </c>
      <c r="V170" s="14">
        <f>IF(T170="","",INDEX('Critères et poids'!$F$29:$F$32,MATCH(T170,'Critères et poids'!$A$29:$A$32,0)))</f>
        <v/>
      </c>
      <c r="W170" s="15">
        <f>IF(OR(AH170="",AJ170=""),"",IF(AI170+AJ170*60&lt;=ROUND('Critères et poids'!$C$37*1440,0),INT(AH170)+(AI170+AJ170*60)/1440,WORKDAY(INT(AH170),1+INT((AI170+AJ170*60-ROUND('Critères et poids'!$C$37*1440,0)-1)/(ROUND('Critères et poids'!$C$37*1440,0)-ROUND('Critères et poids'!$C$36*1440,0))))+(ROUND('Critères et poids'!$C$36*1440,0)+AI170+AJ170*60-ROUND('Critères et poids'!$C$37*1440,0)-INT((AI170+AJ170*60-ROUND('Critères et poids'!$C$37*1440,0)-1)/(ROUND('Critères et poids'!$C$37*1440,0)-ROUND('Critères et poids'!$C$36*1440,0)))*(ROUND('Critères et poids'!$C$37*1440,0)-ROUND('Critères et poids'!$C$36*1440,0)))/1440))</f>
        <v/>
      </c>
      <c r="X170" s="16" t="n"/>
      <c r="Y170" s="14">
        <f>IF(W170="","",IF(X170="",IF(NOW()&gt;W170,"En retard","En attente"),IF(X170&lt;=W170,"À temps","En retard")))</f>
        <v/>
      </c>
      <c r="Z170" s="17" t="n"/>
      <c r="AA170" s="14">
        <f>IF($B170="","",IF(OR(T170="X",AD170&lt;&gt;""),0,MAX(0,MIN(Q170,'Critères et poids'!$C$38*INT((TODAY()-IF(Z170&lt;&gt;"",Z170,INT($A170)))/7)))))</f>
        <v/>
      </c>
      <c r="AB170" s="14">
        <f>IF($B170="","",MAX(0,S170-AA170))</f>
        <v/>
      </c>
      <c r="AC170" s="9">
        <f>IF($B170="","",IF(T170="X","X",IF(AB170&gt;='Critères et poids'!$C$29,"A",IF(AB170&gt;='Critères et poids'!$C$30,"B","C"))))</f>
        <v/>
      </c>
      <c r="AD170" s="4" t="n"/>
      <c r="AE170" s="18" t="n"/>
      <c r="AF170" s="6" t="n"/>
      <c r="AH170">
        <f>IF($A170="","",IF(OR(WEEKDAY($A170,2)&gt;5,ROUND(MOD($A170,1)*1440,0)&gt;=ROUND('Critères et poids'!$C$37*1440,0)),WORKDAY(INT($A170),1)+ROUND('Critères et poids'!$C$36*1440,0)/1440,IF(ROUND(MOD($A170,1)*1440,0)&lt;ROUND('Critères et poids'!$C$36*1440,0),INT($A170)+ROUND('Critères et poids'!$C$36*1440,0)/1440,$A170)))</f>
        <v/>
      </c>
      <c r="AI170">
        <f>IF(AH170="","",ROUND(MOD(AH170,1)*1440,0))</f>
        <v/>
      </c>
      <c r="AJ170">
        <f>IF(T170="","",INDEX('Critères et poids'!$E$29:$E$32,MATCH(T170,'Critères et poids'!$A$29:$A$32,0)))</f>
        <v/>
      </c>
    </row>
    <row r="171">
      <c r="A171" s="13" t="n"/>
      <c r="B171" s="6" t="n"/>
      <c r="C171" s="6" t="n"/>
      <c r="D171" s="4" t="n"/>
      <c r="E171" s="4" t="n"/>
      <c r="F171" s="4" t="n"/>
      <c r="G171" s="4" t="n"/>
      <c r="H171" s="4" t="n"/>
      <c r="I171" s="4" t="n"/>
      <c r="J171" s="4" t="n"/>
      <c r="K171" s="4" t="n"/>
      <c r="L171" s="4" t="n"/>
      <c r="M171" s="4" t="n"/>
      <c r="N171" s="6" t="n"/>
      <c r="O171" s="6" t="n"/>
      <c r="P171" s="14">
        <f>IF($B171="","",(E171="Clair")*'Critères et poids'!$G$5+(E171="Partiel")*'Critères et poids'!$G$5/2+(F171="Clair")*'Critères et poids'!$G$6+(F171="Partiel")*'Critères et poids'!$G$6/2+(G171="Clair")*'Critères et poids'!$G$7+(G171="Partiel")*'Critères et poids'!$G$7/2+(H171="Clair")*'Critères et poids'!$G$8+(H171="Partiel")*'Critères et poids'!$G$8/2)</f>
        <v/>
      </c>
      <c r="Q171" s="14">
        <f>IF($B171="","",(I171="Clair")*'Critères et poids'!$G$9+(I171="Partiel")*'Critères et poids'!$G$9/2+(J171="Clair")*'Critères et poids'!$G$10+(J171="Partiel")*'Critères et poids'!$G$10/2+(K171="Clair")*'Critères et poids'!$G$11+(K171="Partiel")*'Critères et poids'!$G$11/2+(L171="Clair")*'Critères et poids'!$G$12+(L171="Partiel")*'Critères et poids'!$G$12/2+(M171="Clair")*'Critères et poids'!$G$13+(M171="Partiel")*'Critères et poids'!$G$13/2)</f>
        <v/>
      </c>
      <c r="R171" s="14">
        <f>IF($B171="","",IFERROR(VLOOKUP(N171,'Critères et poids'!$B$17:$C$20,2,FALSE),0))</f>
        <v/>
      </c>
      <c r="S171" s="9">
        <f>IF($B171="","",MAX(0,P171+Q171+R171))</f>
        <v/>
      </c>
      <c r="T171" s="9">
        <f>IF($B171="","",IF(O171&lt;&gt;"","X",IF(S171&gt;='Critères et poids'!$C$29,"A",IF(S171&gt;='Critères et poids'!$C$30,"B","C"))))</f>
        <v/>
      </c>
      <c r="U171" s="14">
        <f>IF(T171="","",INDEX('Critères et poids'!$D$29:$D$32,MATCH(T171,'Critères et poids'!$A$29:$A$32,0)))</f>
        <v/>
      </c>
      <c r="V171" s="14">
        <f>IF(T171="","",INDEX('Critères et poids'!$F$29:$F$32,MATCH(T171,'Critères et poids'!$A$29:$A$32,0)))</f>
        <v/>
      </c>
      <c r="W171" s="15">
        <f>IF(OR(AH171="",AJ171=""),"",IF(AI171+AJ171*60&lt;=ROUND('Critères et poids'!$C$37*1440,0),INT(AH171)+(AI171+AJ171*60)/1440,WORKDAY(INT(AH171),1+INT((AI171+AJ171*60-ROUND('Critères et poids'!$C$37*1440,0)-1)/(ROUND('Critères et poids'!$C$37*1440,0)-ROUND('Critères et poids'!$C$36*1440,0))))+(ROUND('Critères et poids'!$C$36*1440,0)+AI171+AJ171*60-ROUND('Critères et poids'!$C$37*1440,0)-INT((AI171+AJ171*60-ROUND('Critères et poids'!$C$37*1440,0)-1)/(ROUND('Critères et poids'!$C$37*1440,0)-ROUND('Critères et poids'!$C$36*1440,0)))*(ROUND('Critères et poids'!$C$37*1440,0)-ROUND('Critères et poids'!$C$36*1440,0)))/1440))</f>
        <v/>
      </c>
      <c r="X171" s="16" t="n"/>
      <c r="Y171" s="14">
        <f>IF(W171="","",IF(X171="",IF(NOW()&gt;W171,"En retard","En attente"),IF(X171&lt;=W171,"À temps","En retard")))</f>
        <v/>
      </c>
      <c r="Z171" s="17" t="n"/>
      <c r="AA171" s="14">
        <f>IF($B171="","",IF(OR(T171="X",AD171&lt;&gt;""),0,MAX(0,MIN(Q171,'Critères et poids'!$C$38*INT((TODAY()-IF(Z171&lt;&gt;"",Z171,INT($A171)))/7)))))</f>
        <v/>
      </c>
      <c r="AB171" s="14">
        <f>IF($B171="","",MAX(0,S171-AA171))</f>
        <v/>
      </c>
      <c r="AC171" s="9">
        <f>IF($B171="","",IF(T171="X","X",IF(AB171&gt;='Critères et poids'!$C$29,"A",IF(AB171&gt;='Critères et poids'!$C$30,"B","C"))))</f>
        <v/>
      </c>
      <c r="AD171" s="4" t="n"/>
      <c r="AE171" s="18" t="n"/>
      <c r="AF171" s="6" t="n"/>
      <c r="AH171">
        <f>IF($A171="","",IF(OR(WEEKDAY($A171,2)&gt;5,ROUND(MOD($A171,1)*1440,0)&gt;=ROUND('Critères et poids'!$C$37*1440,0)),WORKDAY(INT($A171),1)+ROUND('Critères et poids'!$C$36*1440,0)/1440,IF(ROUND(MOD($A171,1)*1440,0)&lt;ROUND('Critères et poids'!$C$36*1440,0),INT($A171)+ROUND('Critères et poids'!$C$36*1440,0)/1440,$A171)))</f>
        <v/>
      </c>
      <c r="AI171">
        <f>IF(AH171="","",ROUND(MOD(AH171,1)*1440,0))</f>
        <v/>
      </c>
      <c r="AJ171">
        <f>IF(T171="","",INDEX('Critères et poids'!$E$29:$E$32,MATCH(T171,'Critères et poids'!$A$29:$A$32,0)))</f>
        <v/>
      </c>
    </row>
    <row r="172">
      <c r="A172" s="13" t="n"/>
      <c r="B172" s="6" t="n"/>
      <c r="C172" s="6" t="n"/>
      <c r="D172" s="4" t="n"/>
      <c r="E172" s="4" t="n"/>
      <c r="F172" s="4" t="n"/>
      <c r="G172" s="4" t="n"/>
      <c r="H172" s="4" t="n"/>
      <c r="I172" s="4" t="n"/>
      <c r="J172" s="4" t="n"/>
      <c r="K172" s="4" t="n"/>
      <c r="L172" s="4" t="n"/>
      <c r="M172" s="4" t="n"/>
      <c r="N172" s="6" t="n"/>
      <c r="O172" s="6" t="n"/>
      <c r="P172" s="14">
        <f>IF($B172="","",(E172="Clair")*'Critères et poids'!$G$5+(E172="Partiel")*'Critères et poids'!$G$5/2+(F172="Clair")*'Critères et poids'!$G$6+(F172="Partiel")*'Critères et poids'!$G$6/2+(G172="Clair")*'Critères et poids'!$G$7+(G172="Partiel")*'Critères et poids'!$G$7/2+(H172="Clair")*'Critères et poids'!$G$8+(H172="Partiel")*'Critères et poids'!$G$8/2)</f>
        <v/>
      </c>
      <c r="Q172" s="14">
        <f>IF($B172="","",(I172="Clair")*'Critères et poids'!$G$9+(I172="Partiel")*'Critères et poids'!$G$9/2+(J172="Clair")*'Critères et poids'!$G$10+(J172="Partiel")*'Critères et poids'!$G$10/2+(K172="Clair")*'Critères et poids'!$G$11+(K172="Partiel")*'Critères et poids'!$G$11/2+(L172="Clair")*'Critères et poids'!$G$12+(L172="Partiel")*'Critères et poids'!$G$12/2+(M172="Clair")*'Critères et poids'!$G$13+(M172="Partiel")*'Critères et poids'!$G$13/2)</f>
        <v/>
      </c>
      <c r="R172" s="14">
        <f>IF($B172="","",IFERROR(VLOOKUP(N172,'Critères et poids'!$B$17:$C$20,2,FALSE),0))</f>
        <v/>
      </c>
      <c r="S172" s="9">
        <f>IF($B172="","",MAX(0,P172+Q172+R172))</f>
        <v/>
      </c>
      <c r="T172" s="9">
        <f>IF($B172="","",IF(O172&lt;&gt;"","X",IF(S172&gt;='Critères et poids'!$C$29,"A",IF(S172&gt;='Critères et poids'!$C$30,"B","C"))))</f>
        <v/>
      </c>
      <c r="U172" s="14">
        <f>IF(T172="","",INDEX('Critères et poids'!$D$29:$D$32,MATCH(T172,'Critères et poids'!$A$29:$A$32,0)))</f>
        <v/>
      </c>
      <c r="V172" s="14">
        <f>IF(T172="","",INDEX('Critères et poids'!$F$29:$F$32,MATCH(T172,'Critères et poids'!$A$29:$A$32,0)))</f>
        <v/>
      </c>
      <c r="W172" s="15">
        <f>IF(OR(AH172="",AJ172=""),"",IF(AI172+AJ172*60&lt;=ROUND('Critères et poids'!$C$37*1440,0),INT(AH172)+(AI172+AJ172*60)/1440,WORKDAY(INT(AH172),1+INT((AI172+AJ172*60-ROUND('Critères et poids'!$C$37*1440,0)-1)/(ROUND('Critères et poids'!$C$37*1440,0)-ROUND('Critères et poids'!$C$36*1440,0))))+(ROUND('Critères et poids'!$C$36*1440,0)+AI172+AJ172*60-ROUND('Critères et poids'!$C$37*1440,0)-INT((AI172+AJ172*60-ROUND('Critères et poids'!$C$37*1440,0)-1)/(ROUND('Critères et poids'!$C$37*1440,0)-ROUND('Critères et poids'!$C$36*1440,0)))*(ROUND('Critères et poids'!$C$37*1440,0)-ROUND('Critères et poids'!$C$36*1440,0)))/1440))</f>
        <v/>
      </c>
      <c r="X172" s="16" t="n"/>
      <c r="Y172" s="14">
        <f>IF(W172="","",IF(X172="",IF(NOW()&gt;W172,"En retard","En attente"),IF(X172&lt;=W172,"À temps","En retard")))</f>
        <v/>
      </c>
      <c r="Z172" s="17" t="n"/>
      <c r="AA172" s="14">
        <f>IF($B172="","",IF(OR(T172="X",AD172&lt;&gt;""),0,MAX(0,MIN(Q172,'Critères et poids'!$C$38*INT((TODAY()-IF(Z172&lt;&gt;"",Z172,INT($A172)))/7)))))</f>
        <v/>
      </c>
      <c r="AB172" s="14">
        <f>IF($B172="","",MAX(0,S172-AA172))</f>
        <v/>
      </c>
      <c r="AC172" s="9">
        <f>IF($B172="","",IF(T172="X","X",IF(AB172&gt;='Critères et poids'!$C$29,"A",IF(AB172&gt;='Critères et poids'!$C$30,"B","C"))))</f>
        <v/>
      </c>
      <c r="AD172" s="4" t="n"/>
      <c r="AE172" s="18" t="n"/>
      <c r="AF172" s="6" t="n"/>
      <c r="AH172">
        <f>IF($A172="","",IF(OR(WEEKDAY($A172,2)&gt;5,ROUND(MOD($A172,1)*1440,0)&gt;=ROUND('Critères et poids'!$C$37*1440,0)),WORKDAY(INT($A172),1)+ROUND('Critères et poids'!$C$36*1440,0)/1440,IF(ROUND(MOD($A172,1)*1440,0)&lt;ROUND('Critères et poids'!$C$36*1440,0),INT($A172)+ROUND('Critères et poids'!$C$36*1440,0)/1440,$A172)))</f>
        <v/>
      </c>
      <c r="AI172">
        <f>IF(AH172="","",ROUND(MOD(AH172,1)*1440,0))</f>
        <v/>
      </c>
      <c r="AJ172">
        <f>IF(T172="","",INDEX('Critères et poids'!$E$29:$E$32,MATCH(T172,'Critères et poids'!$A$29:$A$32,0)))</f>
        <v/>
      </c>
    </row>
    <row r="173">
      <c r="A173" s="13" t="n"/>
      <c r="B173" s="6" t="n"/>
      <c r="C173" s="6" t="n"/>
      <c r="D173" s="4" t="n"/>
      <c r="E173" s="4" t="n"/>
      <c r="F173" s="4" t="n"/>
      <c r="G173" s="4" t="n"/>
      <c r="H173" s="4" t="n"/>
      <c r="I173" s="4" t="n"/>
      <c r="J173" s="4" t="n"/>
      <c r="K173" s="4" t="n"/>
      <c r="L173" s="4" t="n"/>
      <c r="M173" s="4" t="n"/>
      <c r="N173" s="6" t="n"/>
      <c r="O173" s="6" t="n"/>
      <c r="P173" s="14">
        <f>IF($B173="","",(E173="Clair")*'Critères et poids'!$G$5+(E173="Partiel")*'Critères et poids'!$G$5/2+(F173="Clair")*'Critères et poids'!$G$6+(F173="Partiel")*'Critères et poids'!$G$6/2+(G173="Clair")*'Critères et poids'!$G$7+(G173="Partiel")*'Critères et poids'!$G$7/2+(H173="Clair")*'Critères et poids'!$G$8+(H173="Partiel")*'Critères et poids'!$G$8/2)</f>
        <v/>
      </c>
      <c r="Q173" s="14">
        <f>IF($B173="","",(I173="Clair")*'Critères et poids'!$G$9+(I173="Partiel")*'Critères et poids'!$G$9/2+(J173="Clair")*'Critères et poids'!$G$10+(J173="Partiel")*'Critères et poids'!$G$10/2+(K173="Clair")*'Critères et poids'!$G$11+(K173="Partiel")*'Critères et poids'!$G$11/2+(L173="Clair")*'Critères et poids'!$G$12+(L173="Partiel")*'Critères et poids'!$G$12/2+(M173="Clair")*'Critères et poids'!$G$13+(M173="Partiel")*'Critères et poids'!$G$13/2)</f>
        <v/>
      </c>
      <c r="R173" s="14">
        <f>IF($B173="","",IFERROR(VLOOKUP(N173,'Critères et poids'!$B$17:$C$20,2,FALSE),0))</f>
        <v/>
      </c>
      <c r="S173" s="9">
        <f>IF($B173="","",MAX(0,P173+Q173+R173))</f>
        <v/>
      </c>
      <c r="T173" s="9">
        <f>IF($B173="","",IF(O173&lt;&gt;"","X",IF(S173&gt;='Critères et poids'!$C$29,"A",IF(S173&gt;='Critères et poids'!$C$30,"B","C"))))</f>
        <v/>
      </c>
      <c r="U173" s="14">
        <f>IF(T173="","",INDEX('Critères et poids'!$D$29:$D$32,MATCH(T173,'Critères et poids'!$A$29:$A$32,0)))</f>
        <v/>
      </c>
      <c r="V173" s="14">
        <f>IF(T173="","",INDEX('Critères et poids'!$F$29:$F$32,MATCH(T173,'Critères et poids'!$A$29:$A$32,0)))</f>
        <v/>
      </c>
      <c r="W173" s="15">
        <f>IF(OR(AH173="",AJ173=""),"",IF(AI173+AJ173*60&lt;=ROUND('Critères et poids'!$C$37*1440,0),INT(AH173)+(AI173+AJ173*60)/1440,WORKDAY(INT(AH173),1+INT((AI173+AJ173*60-ROUND('Critères et poids'!$C$37*1440,0)-1)/(ROUND('Critères et poids'!$C$37*1440,0)-ROUND('Critères et poids'!$C$36*1440,0))))+(ROUND('Critères et poids'!$C$36*1440,0)+AI173+AJ173*60-ROUND('Critères et poids'!$C$37*1440,0)-INT((AI173+AJ173*60-ROUND('Critères et poids'!$C$37*1440,0)-1)/(ROUND('Critères et poids'!$C$37*1440,0)-ROUND('Critères et poids'!$C$36*1440,0)))*(ROUND('Critères et poids'!$C$37*1440,0)-ROUND('Critères et poids'!$C$36*1440,0)))/1440))</f>
        <v/>
      </c>
      <c r="X173" s="16" t="n"/>
      <c r="Y173" s="14">
        <f>IF(W173="","",IF(X173="",IF(NOW()&gt;W173,"En retard","En attente"),IF(X173&lt;=W173,"À temps","En retard")))</f>
        <v/>
      </c>
      <c r="Z173" s="17" t="n"/>
      <c r="AA173" s="14">
        <f>IF($B173="","",IF(OR(T173="X",AD173&lt;&gt;""),0,MAX(0,MIN(Q173,'Critères et poids'!$C$38*INT((TODAY()-IF(Z173&lt;&gt;"",Z173,INT($A173)))/7)))))</f>
        <v/>
      </c>
      <c r="AB173" s="14">
        <f>IF($B173="","",MAX(0,S173-AA173))</f>
        <v/>
      </c>
      <c r="AC173" s="9">
        <f>IF($B173="","",IF(T173="X","X",IF(AB173&gt;='Critères et poids'!$C$29,"A",IF(AB173&gt;='Critères et poids'!$C$30,"B","C"))))</f>
        <v/>
      </c>
      <c r="AD173" s="4" t="n"/>
      <c r="AE173" s="18" t="n"/>
      <c r="AF173" s="6" t="n"/>
      <c r="AH173">
        <f>IF($A173="","",IF(OR(WEEKDAY($A173,2)&gt;5,ROUND(MOD($A173,1)*1440,0)&gt;=ROUND('Critères et poids'!$C$37*1440,0)),WORKDAY(INT($A173),1)+ROUND('Critères et poids'!$C$36*1440,0)/1440,IF(ROUND(MOD($A173,1)*1440,0)&lt;ROUND('Critères et poids'!$C$36*1440,0),INT($A173)+ROUND('Critères et poids'!$C$36*1440,0)/1440,$A173)))</f>
        <v/>
      </c>
      <c r="AI173">
        <f>IF(AH173="","",ROUND(MOD(AH173,1)*1440,0))</f>
        <v/>
      </c>
      <c r="AJ173">
        <f>IF(T173="","",INDEX('Critères et poids'!$E$29:$E$32,MATCH(T173,'Critères et poids'!$A$29:$A$32,0)))</f>
        <v/>
      </c>
    </row>
    <row r="174">
      <c r="A174" s="13" t="n"/>
      <c r="B174" s="6" t="n"/>
      <c r="C174" s="6" t="n"/>
      <c r="D174" s="4" t="n"/>
      <c r="E174" s="4" t="n"/>
      <c r="F174" s="4" t="n"/>
      <c r="G174" s="4" t="n"/>
      <c r="H174" s="4" t="n"/>
      <c r="I174" s="4" t="n"/>
      <c r="J174" s="4" t="n"/>
      <c r="K174" s="4" t="n"/>
      <c r="L174" s="4" t="n"/>
      <c r="M174" s="4" t="n"/>
      <c r="N174" s="6" t="n"/>
      <c r="O174" s="6" t="n"/>
      <c r="P174" s="14">
        <f>IF($B174="","",(E174="Clair")*'Critères et poids'!$G$5+(E174="Partiel")*'Critères et poids'!$G$5/2+(F174="Clair")*'Critères et poids'!$G$6+(F174="Partiel")*'Critères et poids'!$G$6/2+(G174="Clair")*'Critères et poids'!$G$7+(G174="Partiel")*'Critères et poids'!$G$7/2+(H174="Clair")*'Critères et poids'!$G$8+(H174="Partiel")*'Critères et poids'!$G$8/2)</f>
        <v/>
      </c>
      <c r="Q174" s="14">
        <f>IF($B174="","",(I174="Clair")*'Critères et poids'!$G$9+(I174="Partiel")*'Critères et poids'!$G$9/2+(J174="Clair")*'Critères et poids'!$G$10+(J174="Partiel")*'Critères et poids'!$G$10/2+(K174="Clair")*'Critères et poids'!$G$11+(K174="Partiel")*'Critères et poids'!$G$11/2+(L174="Clair")*'Critères et poids'!$G$12+(L174="Partiel")*'Critères et poids'!$G$12/2+(M174="Clair")*'Critères et poids'!$G$13+(M174="Partiel")*'Critères et poids'!$G$13/2)</f>
        <v/>
      </c>
      <c r="R174" s="14">
        <f>IF($B174="","",IFERROR(VLOOKUP(N174,'Critères et poids'!$B$17:$C$20,2,FALSE),0))</f>
        <v/>
      </c>
      <c r="S174" s="9">
        <f>IF($B174="","",MAX(0,P174+Q174+R174))</f>
        <v/>
      </c>
      <c r="T174" s="9">
        <f>IF($B174="","",IF(O174&lt;&gt;"","X",IF(S174&gt;='Critères et poids'!$C$29,"A",IF(S174&gt;='Critères et poids'!$C$30,"B","C"))))</f>
        <v/>
      </c>
      <c r="U174" s="14">
        <f>IF(T174="","",INDEX('Critères et poids'!$D$29:$D$32,MATCH(T174,'Critères et poids'!$A$29:$A$32,0)))</f>
        <v/>
      </c>
      <c r="V174" s="14">
        <f>IF(T174="","",INDEX('Critères et poids'!$F$29:$F$32,MATCH(T174,'Critères et poids'!$A$29:$A$32,0)))</f>
        <v/>
      </c>
      <c r="W174" s="15">
        <f>IF(OR(AH174="",AJ174=""),"",IF(AI174+AJ174*60&lt;=ROUND('Critères et poids'!$C$37*1440,0),INT(AH174)+(AI174+AJ174*60)/1440,WORKDAY(INT(AH174),1+INT((AI174+AJ174*60-ROUND('Critères et poids'!$C$37*1440,0)-1)/(ROUND('Critères et poids'!$C$37*1440,0)-ROUND('Critères et poids'!$C$36*1440,0))))+(ROUND('Critères et poids'!$C$36*1440,0)+AI174+AJ174*60-ROUND('Critères et poids'!$C$37*1440,0)-INT((AI174+AJ174*60-ROUND('Critères et poids'!$C$37*1440,0)-1)/(ROUND('Critères et poids'!$C$37*1440,0)-ROUND('Critères et poids'!$C$36*1440,0)))*(ROUND('Critères et poids'!$C$37*1440,0)-ROUND('Critères et poids'!$C$36*1440,0)))/1440))</f>
        <v/>
      </c>
      <c r="X174" s="16" t="n"/>
      <c r="Y174" s="14">
        <f>IF(W174="","",IF(X174="",IF(NOW()&gt;W174,"En retard","En attente"),IF(X174&lt;=W174,"À temps","En retard")))</f>
        <v/>
      </c>
      <c r="Z174" s="17" t="n"/>
      <c r="AA174" s="14">
        <f>IF($B174="","",IF(OR(T174="X",AD174&lt;&gt;""),0,MAX(0,MIN(Q174,'Critères et poids'!$C$38*INT((TODAY()-IF(Z174&lt;&gt;"",Z174,INT($A174)))/7)))))</f>
        <v/>
      </c>
      <c r="AB174" s="14">
        <f>IF($B174="","",MAX(0,S174-AA174))</f>
        <v/>
      </c>
      <c r="AC174" s="9">
        <f>IF($B174="","",IF(T174="X","X",IF(AB174&gt;='Critères et poids'!$C$29,"A",IF(AB174&gt;='Critères et poids'!$C$30,"B","C"))))</f>
        <v/>
      </c>
      <c r="AD174" s="4" t="n"/>
      <c r="AE174" s="18" t="n"/>
      <c r="AF174" s="6" t="n"/>
      <c r="AH174">
        <f>IF($A174="","",IF(OR(WEEKDAY($A174,2)&gt;5,ROUND(MOD($A174,1)*1440,0)&gt;=ROUND('Critères et poids'!$C$37*1440,0)),WORKDAY(INT($A174),1)+ROUND('Critères et poids'!$C$36*1440,0)/1440,IF(ROUND(MOD($A174,1)*1440,0)&lt;ROUND('Critères et poids'!$C$36*1440,0),INT($A174)+ROUND('Critères et poids'!$C$36*1440,0)/1440,$A174)))</f>
        <v/>
      </c>
      <c r="AI174">
        <f>IF(AH174="","",ROUND(MOD(AH174,1)*1440,0))</f>
        <v/>
      </c>
      <c r="AJ174">
        <f>IF(T174="","",INDEX('Critères et poids'!$E$29:$E$32,MATCH(T174,'Critères et poids'!$A$29:$A$32,0)))</f>
        <v/>
      </c>
    </row>
    <row r="175">
      <c r="A175" s="13" t="n"/>
      <c r="B175" s="6" t="n"/>
      <c r="C175" s="6" t="n"/>
      <c r="D175" s="4" t="n"/>
      <c r="E175" s="4" t="n"/>
      <c r="F175" s="4" t="n"/>
      <c r="G175" s="4" t="n"/>
      <c r="H175" s="4" t="n"/>
      <c r="I175" s="4" t="n"/>
      <c r="J175" s="4" t="n"/>
      <c r="K175" s="4" t="n"/>
      <c r="L175" s="4" t="n"/>
      <c r="M175" s="4" t="n"/>
      <c r="N175" s="6" t="n"/>
      <c r="O175" s="6" t="n"/>
      <c r="P175" s="14">
        <f>IF($B175="","",(E175="Clair")*'Critères et poids'!$G$5+(E175="Partiel")*'Critères et poids'!$G$5/2+(F175="Clair")*'Critères et poids'!$G$6+(F175="Partiel")*'Critères et poids'!$G$6/2+(G175="Clair")*'Critères et poids'!$G$7+(G175="Partiel")*'Critères et poids'!$G$7/2+(H175="Clair")*'Critères et poids'!$G$8+(H175="Partiel")*'Critères et poids'!$G$8/2)</f>
        <v/>
      </c>
      <c r="Q175" s="14">
        <f>IF($B175="","",(I175="Clair")*'Critères et poids'!$G$9+(I175="Partiel")*'Critères et poids'!$G$9/2+(J175="Clair")*'Critères et poids'!$G$10+(J175="Partiel")*'Critères et poids'!$G$10/2+(K175="Clair")*'Critères et poids'!$G$11+(K175="Partiel")*'Critères et poids'!$G$11/2+(L175="Clair")*'Critères et poids'!$G$12+(L175="Partiel")*'Critères et poids'!$G$12/2+(M175="Clair")*'Critères et poids'!$G$13+(M175="Partiel")*'Critères et poids'!$G$13/2)</f>
        <v/>
      </c>
      <c r="R175" s="14">
        <f>IF($B175="","",IFERROR(VLOOKUP(N175,'Critères et poids'!$B$17:$C$20,2,FALSE),0))</f>
        <v/>
      </c>
      <c r="S175" s="9">
        <f>IF($B175="","",MAX(0,P175+Q175+R175))</f>
        <v/>
      </c>
      <c r="T175" s="9">
        <f>IF($B175="","",IF(O175&lt;&gt;"","X",IF(S175&gt;='Critères et poids'!$C$29,"A",IF(S175&gt;='Critères et poids'!$C$30,"B","C"))))</f>
        <v/>
      </c>
      <c r="U175" s="14">
        <f>IF(T175="","",INDEX('Critères et poids'!$D$29:$D$32,MATCH(T175,'Critères et poids'!$A$29:$A$32,0)))</f>
        <v/>
      </c>
      <c r="V175" s="14">
        <f>IF(T175="","",INDEX('Critères et poids'!$F$29:$F$32,MATCH(T175,'Critères et poids'!$A$29:$A$32,0)))</f>
        <v/>
      </c>
      <c r="W175" s="15">
        <f>IF(OR(AH175="",AJ175=""),"",IF(AI175+AJ175*60&lt;=ROUND('Critères et poids'!$C$37*1440,0),INT(AH175)+(AI175+AJ175*60)/1440,WORKDAY(INT(AH175),1+INT((AI175+AJ175*60-ROUND('Critères et poids'!$C$37*1440,0)-1)/(ROUND('Critères et poids'!$C$37*1440,0)-ROUND('Critères et poids'!$C$36*1440,0))))+(ROUND('Critères et poids'!$C$36*1440,0)+AI175+AJ175*60-ROUND('Critères et poids'!$C$37*1440,0)-INT((AI175+AJ175*60-ROUND('Critères et poids'!$C$37*1440,0)-1)/(ROUND('Critères et poids'!$C$37*1440,0)-ROUND('Critères et poids'!$C$36*1440,0)))*(ROUND('Critères et poids'!$C$37*1440,0)-ROUND('Critères et poids'!$C$36*1440,0)))/1440))</f>
        <v/>
      </c>
      <c r="X175" s="16" t="n"/>
      <c r="Y175" s="14">
        <f>IF(W175="","",IF(X175="",IF(NOW()&gt;W175,"En retard","En attente"),IF(X175&lt;=W175,"À temps","En retard")))</f>
        <v/>
      </c>
      <c r="Z175" s="17" t="n"/>
      <c r="AA175" s="14">
        <f>IF($B175="","",IF(OR(T175="X",AD175&lt;&gt;""),0,MAX(0,MIN(Q175,'Critères et poids'!$C$38*INT((TODAY()-IF(Z175&lt;&gt;"",Z175,INT($A175)))/7)))))</f>
        <v/>
      </c>
      <c r="AB175" s="14">
        <f>IF($B175="","",MAX(0,S175-AA175))</f>
        <v/>
      </c>
      <c r="AC175" s="9">
        <f>IF($B175="","",IF(T175="X","X",IF(AB175&gt;='Critères et poids'!$C$29,"A",IF(AB175&gt;='Critères et poids'!$C$30,"B","C"))))</f>
        <v/>
      </c>
      <c r="AD175" s="4" t="n"/>
      <c r="AE175" s="18" t="n"/>
      <c r="AF175" s="6" t="n"/>
      <c r="AH175">
        <f>IF($A175="","",IF(OR(WEEKDAY($A175,2)&gt;5,ROUND(MOD($A175,1)*1440,0)&gt;=ROUND('Critères et poids'!$C$37*1440,0)),WORKDAY(INT($A175),1)+ROUND('Critères et poids'!$C$36*1440,0)/1440,IF(ROUND(MOD($A175,1)*1440,0)&lt;ROUND('Critères et poids'!$C$36*1440,0),INT($A175)+ROUND('Critères et poids'!$C$36*1440,0)/1440,$A175)))</f>
        <v/>
      </c>
      <c r="AI175">
        <f>IF(AH175="","",ROUND(MOD(AH175,1)*1440,0))</f>
        <v/>
      </c>
      <c r="AJ175">
        <f>IF(T175="","",INDEX('Critères et poids'!$E$29:$E$32,MATCH(T175,'Critères et poids'!$A$29:$A$32,0)))</f>
        <v/>
      </c>
    </row>
    <row r="176">
      <c r="A176" s="13" t="n"/>
      <c r="B176" s="6" t="n"/>
      <c r="C176" s="6" t="n"/>
      <c r="D176" s="4" t="n"/>
      <c r="E176" s="4" t="n"/>
      <c r="F176" s="4" t="n"/>
      <c r="G176" s="4" t="n"/>
      <c r="H176" s="4" t="n"/>
      <c r="I176" s="4" t="n"/>
      <c r="J176" s="4" t="n"/>
      <c r="K176" s="4" t="n"/>
      <c r="L176" s="4" t="n"/>
      <c r="M176" s="4" t="n"/>
      <c r="N176" s="6" t="n"/>
      <c r="O176" s="6" t="n"/>
      <c r="P176" s="14">
        <f>IF($B176="","",(E176="Clair")*'Critères et poids'!$G$5+(E176="Partiel")*'Critères et poids'!$G$5/2+(F176="Clair")*'Critères et poids'!$G$6+(F176="Partiel")*'Critères et poids'!$G$6/2+(G176="Clair")*'Critères et poids'!$G$7+(G176="Partiel")*'Critères et poids'!$G$7/2+(H176="Clair")*'Critères et poids'!$G$8+(H176="Partiel")*'Critères et poids'!$G$8/2)</f>
        <v/>
      </c>
      <c r="Q176" s="14">
        <f>IF($B176="","",(I176="Clair")*'Critères et poids'!$G$9+(I176="Partiel")*'Critères et poids'!$G$9/2+(J176="Clair")*'Critères et poids'!$G$10+(J176="Partiel")*'Critères et poids'!$G$10/2+(K176="Clair")*'Critères et poids'!$G$11+(K176="Partiel")*'Critères et poids'!$G$11/2+(L176="Clair")*'Critères et poids'!$G$12+(L176="Partiel")*'Critères et poids'!$G$12/2+(M176="Clair")*'Critères et poids'!$G$13+(M176="Partiel")*'Critères et poids'!$G$13/2)</f>
        <v/>
      </c>
      <c r="R176" s="14">
        <f>IF($B176="","",IFERROR(VLOOKUP(N176,'Critères et poids'!$B$17:$C$20,2,FALSE),0))</f>
        <v/>
      </c>
      <c r="S176" s="9">
        <f>IF($B176="","",MAX(0,P176+Q176+R176))</f>
        <v/>
      </c>
      <c r="T176" s="9">
        <f>IF($B176="","",IF(O176&lt;&gt;"","X",IF(S176&gt;='Critères et poids'!$C$29,"A",IF(S176&gt;='Critères et poids'!$C$30,"B","C"))))</f>
        <v/>
      </c>
      <c r="U176" s="14">
        <f>IF(T176="","",INDEX('Critères et poids'!$D$29:$D$32,MATCH(T176,'Critères et poids'!$A$29:$A$32,0)))</f>
        <v/>
      </c>
      <c r="V176" s="14">
        <f>IF(T176="","",INDEX('Critères et poids'!$F$29:$F$32,MATCH(T176,'Critères et poids'!$A$29:$A$32,0)))</f>
        <v/>
      </c>
      <c r="W176" s="15">
        <f>IF(OR(AH176="",AJ176=""),"",IF(AI176+AJ176*60&lt;=ROUND('Critères et poids'!$C$37*1440,0),INT(AH176)+(AI176+AJ176*60)/1440,WORKDAY(INT(AH176),1+INT((AI176+AJ176*60-ROUND('Critères et poids'!$C$37*1440,0)-1)/(ROUND('Critères et poids'!$C$37*1440,0)-ROUND('Critères et poids'!$C$36*1440,0))))+(ROUND('Critères et poids'!$C$36*1440,0)+AI176+AJ176*60-ROUND('Critères et poids'!$C$37*1440,0)-INT((AI176+AJ176*60-ROUND('Critères et poids'!$C$37*1440,0)-1)/(ROUND('Critères et poids'!$C$37*1440,0)-ROUND('Critères et poids'!$C$36*1440,0)))*(ROUND('Critères et poids'!$C$37*1440,0)-ROUND('Critères et poids'!$C$36*1440,0)))/1440))</f>
        <v/>
      </c>
      <c r="X176" s="16" t="n"/>
      <c r="Y176" s="14">
        <f>IF(W176="","",IF(X176="",IF(NOW()&gt;W176,"En retard","En attente"),IF(X176&lt;=W176,"À temps","En retard")))</f>
        <v/>
      </c>
      <c r="Z176" s="17" t="n"/>
      <c r="AA176" s="14">
        <f>IF($B176="","",IF(OR(T176="X",AD176&lt;&gt;""),0,MAX(0,MIN(Q176,'Critères et poids'!$C$38*INT((TODAY()-IF(Z176&lt;&gt;"",Z176,INT($A176)))/7)))))</f>
        <v/>
      </c>
      <c r="AB176" s="14">
        <f>IF($B176="","",MAX(0,S176-AA176))</f>
        <v/>
      </c>
      <c r="AC176" s="9">
        <f>IF($B176="","",IF(T176="X","X",IF(AB176&gt;='Critères et poids'!$C$29,"A",IF(AB176&gt;='Critères et poids'!$C$30,"B","C"))))</f>
        <v/>
      </c>
      <c r="AD176" s="4" t="n"/>
      <c r="AE176" s="18" t="n"/>
      <c r="AF176" s="6" t="n"/>
      <c r="AH176">
        <f>IF($A176="","",IF(OR(WEEKDAY($A176,2)&gt;5,ROUND(MOD($A176,1)*1440,0)&gt;=ROUND('Critères et poids'!$C$37*1440,0)),WORKDAY(INT($A176),1)+ROUND('Critères et poids'!$C$36*1440,0)/1440,IF(ROUND(MOD($A176,1)*1440,0)&lt;ROUND('Critères et poids'!$C$36*1440,0),INT($A176)+ROUND('Critères et poids'!$C$36*1440,0)/1440,$A176)))</f>
        <v/>
      </c>
      <c r="AI176">
        <f>IF(AH176="","",ROUND(MOD(AH176,1)*1440,0))</f>
        <v/>
      </c>
      <c r="AJ176">
        <f>IF(T176="","",INDEX('Critères et poids'!$E$29:$E$32,MATCH(T176,'Critères et poids'!$A$29:$A$32,0)))</f>
        <v/>
      </c>
    </row>
    <row r="177">
      <c r="A177" s="13" t="n"/>
      <c r="B177" s="6" t="n"/>
      <c r="C177" s="6" t="n"/>
      <c r="D177" s="4" t="n"/>
      <c r="E177" s="4" t="n"/>
      <c r="F177" s="4" t="n"/>
      <c r="G177" s="4" t="n"/>
      <c r="H177" s="4" t="n"/>
      <c r="I177" s="4" t="n"/>
      <c r="J177" s="4" t="n"/>
      <c r="K177" s="4" t="n"/>
      <c r="L177" s="4" t="n"/>
      <c r="M177" s="4" t="n"/>
      <c r="N177" s="6" t="n"/>
      <c r="O177" s="6" t="n"/>
      <c r="P177" s="14">
        <f>IF($B177="","",(E177="Clair")*'Critères et poids'!$G$5+(E177="Partiel")*'Critères et poids'!$G$5/2+(F177="Clair")*'Critères et poids'!$G$6+(F177="Partiel")*'Critères et poids'!$G$6/2+(G177="Clair")*'Critères et poids'!$G$7+(G177="Partiel")*'Critères et poids'!$G$7/2+(H177="Clair")*'Critères et poids'!$G$8+(H177="Partiel")*'Critères et poids'!$G$8/2)</f>
        <v/>
      </c>
      <c r="Q177" s="14">
        <f>IF($B177="","",(I177="Clair")*'Critères et poids'!$G$9+(I177="Partiel")*'Critères et poids'!$G$9/2+(J177="Clair")*'Critères et poids'!$G$10+(J177="Partiel")*'Critères et poids'!$G$10/2+(K177="Clair")*'Critères et poids'!$G$11+(K177="Partiel")*'Critères et poids'!$G$11/2+(L177="Clair")*'Critères et poids'!$G$12+(L177="Partiel")*'Critères et poids'!$G$12/2+(M177="Clair")*'Critères et poids'!$G$13+(M177="Partiel")*'Critères et poids'!$G$13/2)</f>
        <v/>
      </c>
      <c r="R177" s="14">
        <f>IF($B177="","",IFERROR(VLOOKUP(N177,'Critères et poids'!$B$17:$C$20,2,FALSE),0))</f>
        <v/>
      </c>
      <c r="S177" s="9">
        <f>IF($B177="","",MAX(0,P177+Q177+R177))</f>
        <v/>
      </c>
      <c r="T177" s="9">
        <f>IF($B177="","",IF(O177&lt;&gt;"","X",IF(S177&gt;='Critères et poids'!$C$29,"A",IF(S177&gt;='Critères et poids'!$C$30,"B","C"))))</f>
        <v/>
      </c>
      <c r="U177" s="14">
        <f>IF(T177="","",INDEX('Critères et poids'!$D$29:$D$32,MATCH(T177,'Critères et poids'!$A$29:$A$32,0)))</f>
        <v/>
      </c>
      <c r="V177" s="14">
        <f>IF(T177="","",INDEX('Critères et poids'!$F$29:$F$32,MATCH(T177,'Critères et poids'!$A$29:$A$32,0)))</f>
        <v/>
      </c>
      <c r="W177" s="15">
        <f>IF(OR(AH177="",AJ177=""),"",IF(AI177+AJ177*60&lt;=ROUND('Critères et poids'!$C$37*1440,0),INT(AH177)+(AI177+AJ177*60)/1440,WORKDAY(INT(AH177),1+INT((AI177+AJ177*60-ROUND('Critères et poids'!$C$37*1440,0)-1)/(ROUND('Critères et poids'!$C$37*1440,0)-ROUND('Critères et poids'!$C$36*1440,0))))+(ROUND('Critères et poids'!$C$36*1440,0)+AI177+AJ177*60-ROUND('Critères et poids'!$C$37*1440,0)-INT((AI177+AJ177*60-ROUND('Critères et poids'!$C$37*1440,0)-1)/(ROUND('Critères et poids'!$C$37*1440,0)-ROUND('Critères et poids'!$C$36*1440,0)))*(ROUND('Critères et poids'!$C$37*1440,0)-ROUND('Critères et poids'!$C$36*1440,0)))/1440))</f>
        <v/>
      </c>
      <c r="X177" s="16" t="n"/>
      <c r="Y177" s="14">
        <f>IF(W177="","",IF(X177="",IF(NOW()&gt;W177,"En retard","En attente"),IF(X177&lt;=W177,"À temps","En retard")))</f>
        <v/>
      </c>
      <c r="Z177" s="17" t="n"/>
      <c r="AA177" s="14">
        <f>IF($B177="","",IF(OR(T177="X",AD177&lt;&gt;""),0,MAX(0,MIN(Q177,'Critères et poids'!$C$38*INT((TODAY()-IF(Z177&lt;&gt;"",Z177,INT($A177)))/7)))))</f>
        <v/>
      </c>
      <c r="AB177" s="14">
        <f>IF($B177="","",MAX(0,S177-AA177))</f>
        <v/>
      </c>
      <c r="AC177" s="9">
        <f>IF($B177="","",IF(T177="X","X",IF(AB177&gt;='Critères et poids'!$C$29,"A",IF(AB177&gt;='Critères et poids'!$C$30,"B","C"))))</f>
        <v/>
      </c>
      <c r="AD177" s="4" t="n"/>
      <c r="AE177" s="18" t="n"/>
      <c r="AF177" s="6" t="n"/>
      <c r="AH177">
        <f>IF($A177="","",IF(OR(WEEKDAY($A177,2)&gt;5,ROUND(MOD($A177,1)*1440,0)&gt;=ROUND('Critères et poids'!$C$37*1440,0)),WORKDAY(INT($A177),1)+ROUND('Critères et poids'!$C$36*1440,0)/1440,IF(ROUND(MOD($A177,1)*1440,0)&lt;ROUND('Critères et poids'!$C$36*1440,0),INT($A177)+ROUND('Critères et poids'!$C$36*1440,0)/1440,$A177)))</f>
        <v/>
      </c>
      <c r="AI177">
        <f>IF(AH177="","",ROUND(MOD(AH177,1)*1440,0))</f>
        <v/>
      </c>
      <c r="AJ177">
        <f>IF(T177="","",INDEX('Critères et poids'!$E$29:$E$32,MATCH(T177,'Critères et poids'!$A$29:$A$32,0)))</f>
        <v/>
      </c>
    </row>
    <row r="178">
      <c r="A178" s="13" t="n"/>
      <c r="B178" s="6" t="n"/>
      <c r="C178" s="6" t="n"/>
      <c r="D178" s="4" t="n"/>
      <c r="E178" s="4" t="n"/>
      <c r="F178" s="4" t="n"/>
      <c r="G178" s="4" t="n"/>
      <c r="H178" s="4" t="n"/>
      <c r="I178" s="4" t="n"/>
      <c r="J178" s="4" t="n"/>
      <c r="K178" s="4" t="n"/>
      <c r="L178" s="4" t="n"/>
      <c r="M178" s="4" t="n"/>
      <c r="N178" s="6" t="n"/>
      <c r="O178" s="6" t="n"/>
      <c r="P178" s="14">
        <f>IF($B178="","",(E178="Clair")*'Critères et poids'!$G$5+(E178="Partiel")*'Critères et poids'!$G$5/2+(F178="Clair")*'Critères et poids'!$G$6+(F178="Partiel")*'Critères et poids'!$G$6/2+(G178="Clair")*'Critères et poids'!$G$7+(G178="Partiel")*'Critères et poids'!$G$7/2+(H178="Clair")*'Critères et poids'!$G$8+(H178="Partiel")*'Critères et poids'!$G$8/2)</f>
        <v/>
      </c>
      <c r="Q178" s="14">
        <f>IF($B178="","",(I178="Clair")*'Critères et poids'!$G$9+(I178="Partiel")*'Critères et poids'!$G$9/2+(J178="Clair")*'Critères et poids'!$G$10+(J178="Partiel")*'Critères et poids'!$G$10/2+(K178="Clair")*'Critères et poids'!$G$11+(K178="Partiel")*'Critères et poids'!$G$11/2+(L178="Clair")*'Critères et poids'!$G$12+(L178="Partiel")*'Critères et poids'!$G$12/2+(M178="Clair")*'Critères et poids'!$G$13+(M178="Partiel")*'Critères et poids'!$G$13/2)</f>
        <v/>
      </c>
      <c r="R178" s="14">
        <f>IF($B178="","",IFERROR(VLOOKUP(N178,'Critères et poids'!$B$17:$C$20,2,FALSE),0))</f>
        <v/>
      </c>
      <c r="S178" s="9">
        <f>IF($B178="","",MAX(0,P178+Q178+R178))</f>
        <v/>
      </c>
      <c r="T178" s="9">
        <f>IF($B178="","",IF(O178&lt;&gt;"","X",IF(S178&gt;='Critères et poids'!$C$29,"A",IF(S178&gt;='Critères et poids'!$C$30,"B","C"))))</f>
        <v/>
      </c>
      <c r="U178" s="14">
        <f>IF(T178="","",INDEX('Critères et poids'!$D$29:$D$32,MATCH(T178,'Critères et poids'!$A$29:$A$32,0)))</f>
        <v/>
      </c>
      <c r="V178" s="14">
        <f>IF(T178="","",INDEX('Critères et poids'!$F$29:$F$32,MATCH(T178,'Critères et poids'!$A$29:$A$32,0)))</f>
        <v/>
      </c>
      <c r="W178" s="15">
        <f>IF(OR(AH178="",AJ178=""),"",IF(AI178+AJ178*60&lt;=ROUND('Critères et poids'!$C$37*1440,0),INT(AH178)+(AI178+AJ178*60)/1440,WORKDAY(INT(AH178),1+INT((AI178+AJ178*60-ROUND('Critères et poids'!$C$37*1440,0)-1)/(ROUND('Critères et poids'!$C$37*1440,0)-ROUND('Critères et poids'!$C$36*1440,0))))+(ROUND('Critères et poids'!$C$36*1440,0)+AI178+AJ178*60-ROUND('Critères et poids'!$C$37*1440,0)-INT((AI178+AJ178*60-ROUND('Critères et poids'!$C$37*1440,0)-1)/(ROUND('Critères et poids'!$C$37*1440,0)-ROUND('Critères et poids'!$C$36*1440,0)))*(ROUND('Critères et poids'!$C$37*1440,0)-ROUND('Critères et poids'!$C$36*1440,0)))/1440))</f>
        <v/>
      </c>
      <c r="X178" s="16" t="n"/>
      <c r="Y178" s="14">
        <f>IF(W178="","",IF(X178="",IF(NOW()&gt;W178,"En retard","En attente"),IF(X178&lt;=W178,"À temps","En retard")))</f>
        <v/>
      </c>
      <c r="Z178" s="17" t="n"/>
      <c r="AA178" s="14">
        <f>IF($B178="","",IF(OR(T178="X",AD178&lt;&gt;""),0,MAX(0,MIN(Q178,'Critères et poids'!$C$38*INT((TODAY()-IF(Z178&lt;&gt;"",Z178,INT($A178)))/7)))))</f>
        <v/>
      </c>
      <c r="AB178" s="14">
        <f>IF($B178="","",MAX(0,S178-AA178))</f>
        <v/>
      </c>
      <c r="AC178" s="9">
        <f>IF($B178="","",IF(T178="X","X",IF(AB178&gt;='Critères et poids'!$C$29,"A",IF(AB178&gt;='Critères et poids'!$C$30,"B","C"))))</f>
        <v/>
      </c>
      <c r="AD178" s="4" t="n"/>
      <c r="AE178" s="18" t="n"/>
      <c r="AF178" s="6" t="n"/>
      <c r="AH178">
        <f>IF($A178="","",IF(OR(WEEKDAY($A178,2)&gt;5,ROUND(MOD($A178,1)*1440,0)&gt;=ROUND('Critères et poids'!$C$37*1440,0)),WORKDAY(INT($A178),1)+ROUND('Critères et poids'!$C$36*1440,0)/1440,IF(ROUND(MOD($A178,1)*1440,0)&lt;ROUND('Critères et poids'!$C$36*1440,0),INT($A178)+ROUND('Critères et poids'!$C$36*1440,0)/1440,$A178)))</f>
        <v/>
      </c>
      <c r="AI178">
        <f>IF(AH178="","",ROUND(MOD(AH178,1)*1440,0))</f>
        <v/>
      </c>
      <c r="AJ178">
        <f>IF(T178="","",INDEX('Critères et poids'!$E$29:$E$32,MATCH(T178,'Critères et poids'!$A$29:$A$32,0)))</f>
        <v/>
      </c>
    </row>
    <row r="179">
      <c r="A179" s="13" t="n"/>
      <c r="B179" s="6" t="n"/>
      <c r="C179" s="6" t="n"/>
      <c r="D179" s="4" t="n"/>
      <c r="E179" s="4" t="n"/>
      <c r="F179" s="4" t="n"/>
      <c r="G179" s="4" t="n"/>
      <c r="H179" s="4" t="n"/>
      <c r="I179" s="4" t="n"/>
      <c r="J179" s="4" t="n"/>
      <c r="K179" s="4" t="n"/>
      <c r="L179" s="4" t="n"/>
      <c r="M179" s="4" t="n"/>
      <c r="N179" s="6" t="n"/>
      <c r="O179" s="6" t="n"/>
      <c r="P179" s="14">
        <f>IF($B179="","",(E179="Clair")*'Critères et poids'!$G$5+(E179="Partiel")*'Critères et poids'!$G$5/2+(F179="Clair")*'Critères et poids'!$G$6+(F179="Partiel")*'Critères et poids'!$G$6/2+(G179="Clair")*'Critères et poids'!$G$7+(G179="Partiel")*'Critères et poids'!$G$7/2+(H179="Clair")*'Critères et poids'!$G$8+(H179="Partiel")*'Critères et poids'!$G$8/2)</f>
        <v/>
      </c>
      <c r="Q179" s="14">
        <f>IF($B179="","",(I179="Clair")*'Critères et poids'!$G$9+(I179="Partiel")*'Critères et poids'!$G$9/2+(J179="Clair")*'Critères et poids'!$G$10+(J179="Partiel")*'Critères et poids'!$G$10/2+(K179="Clair")*'Critères et poids'!$G$11+(K179="Partiel")*'Critères et poids'!$G$11/2+(L179="Clair")*'Critères et poids'!$G$12+(L179="Partiel")*'Critères et poids'!$G$12/2+(M179="Clair")*'Critères et poids'!$G$13+(M179="Partiel")*'Critères et poids'!$G$13/2)</f>
        <v/>
      </c>
      <c r="R179" s="14">
        <f>IF($B179="","",IFERROR(VLOOKUP(N179,'Critères et poids'!$B$17:$C$20,2,FALSE),0))</f>
        <v/>
      </c>
      <c r="S179" s="9">
        <f>IF($B179="","",MAX(0,P179+Q179+R179))</f>
        <v/>
      </c>
      <c r="T179" s="9">
        <f>IF($B179="","",IF(O179&lt;&gt;"","X",IF(S179&gt;='Critères et poids'!$C$29,"A",IF(S179&gt;='Critères et poids'!$C$30,"B","C"))))</f>
        <v/>
      </c>
      <c r="U179" s="14">
        <f>IF(T179="","",INDEX('Critères et poids'!$D$29:$D$32,MATCH(T179,'Critères et poids'!$A$29:$A$32,0)))</f>
        <v/>
      </c>
      <c r="V179" s="14">
        <f>IF(T179="","",INDEX('Critères et poids'!$F$29:$F$32,MATCH(T179,'Critères et poids'!$A$29:$A$32,0)))</f>
        <v/>
      </c>
      <c r="W179" s="15">
        <f>IF(OR(AH179="",AJ179=""),"",IF(AI179+AJ179*60&lt;=ROUND('Critères et poids'!$C$37*1440,0),INT(AH179)+(AI179+AJ179*60)/1440,WORKDAY(INT(AH179),1+INT((AI179+AJ179*60-ROUND('Critères et poids'!$C$37*1440,0)-1)/(ROUND('Critères et poids'!$C$37*1440,0)-ROUND('Critères et poids'!$C$36*1440,0))))+(ROUND('Critères et poids'!$C$36*1440,0)+AI179+AJ179*60-ROUND('Critères et poids'!$C$37*1440,0)-INT((AI179+AJ179*60-ROUND('Critères et poids'!$C$37*1440,0)-1)/(ROUND('Critères et poids'!$C$37*1440,0)-ROUND('Critères et poids'!$C$36*1440,0)))*(ROUND('Critères et poids'!$C$37*1440,0)-ROUND('Critères et poids'!$C$36*1440,0)))/1440))</f>
        <v/>
      </c>
      <c r="X179" s="16" t="n"/>
      <c r="Y179" s="14">
        <f>IF(W179="","",IF(X179="",IF(NOW()&gt;W179,"En retard","En attente"),IF(X179&lt;=W179,"À temps","En retard")))</f>
        <v/>
      </c>
      <c r="Z179" s="17" t="n"/>
      <c r="AA179" s="14">
        <f>IF($B179="","",IF(OR(T179="X",AD179&lt;&gt;""),0,MAX(0,MIN(Q179,'Critères et poids'!$C$38*INT((TODAY()-IF(Z179&lt;&gt;"",Z179,INT($A179)))/7)))))</f>
        <v/>
      </c>
      <c r="AB179" s="14">
        <f>IF($B179="","",MAX(0,S179-AA179))</f>
        <v/>
      </c>
      <c r="AC179" s="9">
        <f>IF($B179="","",IF(T179="X","X",IF(AB179&gt;='Critères et poids'!$C$29,"A",IF(AB179&gt;='Critères et poids'!$C$30,"B","C"))))</f>
        <v/>
      </c>
      <c r="AD179" s="4" t="n"/>
      <c r="AE179" s="18" t="n"/>
      <c r="AF179" s="6" t="n"/>
      <c r="AH179">
        <f>IF($A179="","",IF(OR(WEEKDAY($A179,2)&gt;5,ROUND(MOD($A179,1)*1440,0)&gt;=ROUND('Critères et poids'!$C$37*1440,0)),WORKDAY(INT($A179),1)+ROUND('Critères et poids'!$C$36*1440,0)/1440,IF(ROUND(MOD($A179,1)*1440,0)&lt;ROUND('Critères et poids'!$C$36*1440,0),INT($A179)+ROUND('Critères et poids'!$C$36*1440,0)/1440,$A179)))</f>
        <v/>
      </c>
      <c r="AI179">
        <f>IF(AH179="","",ROUND(MOD(AH179,1)*1440,0))</f>
        <v/>
      </c>
      <c r="AJ179">
        <f>IF(T179="","",INDEX('Critères et poids'!$E$29:$E$32,MATCH(T179,'Critères et poids'!$A$29:$A$32,0)))</f>
        <v/>
      </c>
    </row>
    <row r="180">
      <c r="A180" s="13" t="n"/>
      <c r="B180" s="6" t="n"/>
      <c r="C180" s="6" t="n"/>
      <c r="D180" s="4" t="n"/>
      <c r="E180" s="4" t="n"/>
      <c r="F180" s="4" t="n"/>
      <c r="G180" s="4" t="n"/>
      <c r="H180" s="4" t="n"/>
      <c r="I180" s="4" t="n"/>
      <c r="J180" s="4" t="n"/>
      <c r="K180" s="4" t="n"/>
      <c r="L180" s="4" t="n"/>
      <c r="M180" s="4" t="n"/>
      <c r="N180" s="6" t="n"/>
      <c r="O180" s="6" t="n"/>
      <c r="P180" s="14">
        <f>IF($B180="","",(E180="Clair")*'Critères et poids'!$G$5+(E180="Partiel")*'Critères et poids'!$G$5/2+(F180="Clair")*'Critères et poids'!$G$6+(F180="Partiel")*'Critères et poids'!$G$6/2+(G180="Clair")*'Critères et poids'!$G$7+(G180="Partiel")*'Critères et poids'!$G$7/2+(H180="Clair")*'Critères et poids'!$G$8+(H180="Partiel")*'Critères et poids'!$G$8/2)</f>
        <v/>
      </c>
      <c r="Q180" s="14">
        <f>IF($B180="","",(I180="Clair")*'Critères et poids'!$G$9+(I180="Partiel")*'Critères et poids'!$G$9/2+(J180="Clair")*'Critères et poids'!$G$10+(J180="Partiel")*'Critères et poids'!$G$10/2+(K180="Clair")*'Critères et poids'!$G$11+(K180="Partiel")*'Critères et poids'!$G$11/2+(L180="Clair")*'Critères et poids'!$G$12+(L180="Partiel")*'Critères et poids'!$G$12/2+(M180="Clair")*'Critères et poids'!$G$13+(M180="Partiel")*'Critères et poids'!$G$13/2)</f>
        <v/>
      </c>
      <c r="R180" s="14">
        <f>IF($B180="","",IFERROR(VLOOKUP(N180,'Critères et poids'!$B$17:$C$20,2,FALSE),0))</f>
        <v/>
      </c>
      <c r="S180" s="9">
        <f>IF($B180="","",MAX(0,P180+Q180+R180))</f>
        <v/>
      </c>
      <c r="T180" s="9">
        <f>IF($B180="","",IF(O180&lt;&gt;"","X",IF(S180&gt;='Critères et poids'!$C$29,"A",IF(S180&gt;='Critères et poids'!$C$30,"B","C"))))</f>
        <v/>
      </c>
      <c r="U180" s="14">
        <f>IF(T180="","",INDEX('Critères et poids'!$D$29:$D$32,MATCH(T180,'Critères et poids'!$A$29:$A$32,0)))</f>
        <v/>
      </c>
      <c r="V180" s="14">
        <f>IF(T180="","",INDEX('Critères et poids'!$F$29:$F$32,MATCH(T180,'Critères et poids'!$A$29:$A$32,0)))</f>
        <v/>
      </c>
      <c r="W180" s="15">
        <f>IF(OR(AH180="",AJ180=""),"",IF(AI180+AJ180*60&lt;=ROUND('Critères et poids'!$C$37*1440,0),INT(AH180)+(AI180+AJ180*60)/1440,WORKDAY(INT(AH180),1+INT((AI180+AJ180*60-ROUND('Critères et poids'!$C$37*1440,0)-1)/(ROUND('Critères et poids'!$C$37*1440,0)-ROUND('Critères et poids'!$C$36*1440,0))))+(ROUND('Critères et poids'!$C$36*1440,0)+AI180+AJ180*60-ROUND('Critères et poids'!$C$37*1440,0)-INT((AI180+AJ180*60-ROUND('Critères et poids'!$C$37*1440,0)-1)/(ROUND('Critères et poids'!$C$37*1440,0)-ROUND('Critères et poids'!$C$36*1440,0)))*(ROUND('Critères et poids'!$C$37*1440,0)-ROUND('Critères et poids'!$C$36*1440,0)))/1440))</f>
        <v/>
      </c>
      <c r="X180" s="16" t="n"/>
      <c r="Y180" s="14">
        <f>IF(W180="","",IF(X180="",IF(NOW()&gt;W180,"En retard","En attente"),IF(X180&lt;=W180,"À temps","En retard")))</f>
        <v/>
      </c>
      <c r="Z180" s="17" t="n"/>
      <c r="AA180" s="14">
        <f>IF($B180="","",IF(OR(T180="X",AD180&lt;&gt;""),0,MAX(0,MIN(Q180,'Critères et poids'!$C$38*INT((TODAY()-IF(Z180&lt;&gt;"",Z180,INT($A180)))/7)))))</f>
        <v/>
      </c>
      <c r="AB180" s="14">
        <f>IF($B180="","",MAX(0,S180-AA180))</f>
        <v/>
      </c>
      <c r="AC180" s="9">
        <f>IF($B180="","",IF(T180="X","X",IF(AB180&gt;='Critères et poids'!$C$29,"A",IF(AB180&gt;='Critères et poids'!$C$30,"B","C"))))</f>
        <v/>
      </c>
      <c r="AD180" s="4" t="n"/>
      <c r="AE180" s="18" t="n"/>
      <c r="AF180" s="6" t="n"/>
      <c r="AH180">
        <f>IF($A180="","",IF(OR(WEEKDAY($A180,2)&gt;5,ROUND(MOD($A180,1)*1440,0)&gt;=ROUND('Critères et poids'!$C$37*1440,0)),WORKDAY(INT($A180),1)+ROUND('Critères et poids'!$C$36*1440,0)/1440,IF(ROUND(MOD($A180,1)*1440,0)&lt;ROUND('Critères et poids'!$C$36*1440,0),INT($A180)+ROUND('Critères et poids'!$C$36*1440,0)/1440,$A180)))</f>
        <v/>
      </c>
      <c r="AI180">
        <f>IF(AH180="","",ROUND(MOD(AH180,1)*1440,0))</f>
        <v/>
      </c>
      <c r="AJ180">
        <f>IF(T180="","",INDEX('Critères et poids'!$E$29:$E$32,MATCH(T180,'Critères et poids'!$A$29:$A$32,0)))</f>
        <v/>
      </c>
    </row>
    <row r="181">
      <c r="A181" s="13" t="n"/>
      <c r="B181" s="6" t="n"/>
      <c r="C181" s="6" t="n"/>
      <c r="D181" s="4" t="n"/>
      <c r="E181" s="4" t="n"/>
      <c r="F181" s="4" t="n"/>
      <c r="G181" s="4" t="n"/>
      <c r="H181" s="4" t="n"/>
      <c r="I181" s="4" t="n"/>
      <c r="J181" s="4" t="n"/>
      <c r="K181" s="4" t="n"/>
      <c r="L181" s="4" t="n"/>
      <c r="M181" s="4" t="n"/>
      <c r="N181" s="6" t="n"/>
      <c r="O181" s="6" t="n"/>
      <c r="P181" s="14">
        <f>IF($B181="","",(E181="Clair")*'Critères et poids'!$G$5+(E181="Partiel")*'Critères et poids'!$G$5/2+(F181="Clair")*'Critères et poids'!$G$6+(F181="Partiel")*'Critères et poids'!$G$6/2+(G181="Clair")*'Critères et poids'!$G$7+(G181="Partiel")*'Critères et poids'!$G$7/2+(H181="Clair")*'Critères et poids'!$G$8+(H181="Partiel")*'Critères et poids'!$G$8/2)</f>
        <v/>
      </c>
      <c r="Q181" s="14">
        <f>IF($B181="","",(I181="Clair")*'Critères et poids'!$G$9+(I181="Partiel")*'Critères et poids'!$G$9/2+(J181="Clair")*'Critères et poids'!$G$10+(J181="Partiel")*'Critères et poids'!$G$10/2+(K181="Clair")*'Critères et poids'!$G$11+(K181="Partiel")*'Critères et poids'!$G$11/2+(L181="Clair")*'Critères et poids'!$G$12+(L181="Partiel")*'Critères et poids'!$G$12/2+(M181="Clair")*'Critères et poids'!$G$13+(M181="Partiel")*'Critères et poids'!$G$13/2)</f>
        <v/>
      </c>
      <c r="R181" s="14">
        <f>IF($B181="","",IFERROR(VLOOKUP(N181,'Critères et poids'!$B$17:$C$20,2,FALSE),0))</f>
        <v/>
      </c>
      <c r="S181" s="9">
        <f>IF($B181="","",MAX(0,P181+Q181+R181))</f>
        <v/>
      </c>
      <c r="T181" s="9">
        <f>IF($B181="","",IF(O181&lt;&gt;"","X",IF(S181&gt;='Critères et poids'!$C$29,"A",IF(S181&gt;='Critères et poids'!$C$30,"B","C"))))</f>
        <v/>
      </c>
      <c r="U181" s="14">
        <f>IF(T181="","",INDEX('Critères et poids'!$D$29:$D$32,MATCH(T181,'Critères et poids'!$A$29:$A$32,0)))</f>
        <v/>
      </c>
      <c r="V181" s="14">
        <f>IF(T181="","",INDEX('Critères et poids'!$F$29:$F$32,MATCH(T181,'Critères et poids'!$A$29:$A$32,0)))</f>
        <v/>
      </c>
      <c r="W181" s="15">
        <f>IF(OR(AH181="",AJ181=""),"",IF(AI181+AJ181*60&lt;=ROUND('Critères et poids'!$C$37*1440,0),INT(AH181)+(AI181+AJ181*60)/1440,WORKDAY(INT(AH181),1+INT((AI181+AJ181*60-ROUND('Critères et poids'!$C$37*1440,0)-1)/(ROUND('Critères et poids'!$C$37*1440,0)-ROUND('Critères et poids'!$C$36*1440,0))))+(ROUND('Critères et poids'!$C$36*1440,0)+AI181+AJ181*60-ROUND('Critères et poids'!$C$37*1440,0)-INT((AI181+AJ181*60-ROUND('Critères et poids'!$C$37*1440,0)-1)/(ROUND('Critères et poids'!$C$37*1440,0)-ROUND('Critères et poids'!$C$36*1440,0)))*(ROUND('Critères et poids'!$C$37*1440,0)-ROUND('Critères et poids'!$C$36*1440,0)))/1440))</f>
        <v/>
      </c>
      <c r="X181" s="16" t="n"/>
      <c r="Y181" s="14">
        <f>IF(W181="","",IF(X181="",IF(NOW()&gt;W181,"En retard","En attente"),IF(X181&lt;=W181,"À temps","En retard")))</f>
        <v/>
      </c>
      <c r="Z181" s="17" t="n"/>
      <c r="AA181" s="14">
        <f>IF($B181="","",IF(OR(T181="X",AD181&lt;&gt;""),0,MAX(0,MIN(Q181,'Critères et poids'!$C$38*INT((TODAY()-IF(Z181&lt;&gt;"",Z181,INT($A181)))/7)))))</f>
        <v/>
      </c>
      <c r="AB181" s="14">
        <f>IF($B181="","",MAX(0,S181-AA181))</f>
        <v/>
      </c>
      <c r="AC181" s="9">
        <f>IF($B181="","",IF(T181="X","X",IF(AB181&gt;='Critères et poids'!$C$29,"A",IF(AB181&gt;='Critères et poids'!$C$30,"B","C"))))</f>
        <v/>
      </c>
      <c r="AD181" s="4" t="n"/>
      <c r="AE181" s="18" t="n"/>
      <c r="AF181" s="6" t="n"/>
      <c r="AH181">
        <f>IF($A181="","",IF(OR(WEEKDAY($A181,2)&gt;5,ROUND(MOD($A181,1)*1440,0)&gt;=ROUND('Critères et poids'!$C$37*1440,0)),WORKDAY(INT($A181),1)+ROUND('Critères et poids'!$C$36*1440,0)/1440,IF(ROUND(MOD($A181,1)*1440,0)&lt;ROUND('Critères et poids'!$C$36*1440,0),INT($A181)+ROUND('Critères et poids'!$C$36*1440,0)/1440,$A181)))</f>
        <v/>
      </c>
      <c r="AI181">
        <f>IF(AH181="","",ROUND(MOD(AH181,1)*1440,0))</f>
        <v/>
      </c>
      <c r="AJ181">
        <f>IF(T181="","",INDEX('Critères et poids'!$E$29:$E$32,MATCH(T181,'Critères et poids'!$A$29:$A$32,0)))</f>
        <v/>
      </c>
    </row>
    <row r="182">
      <c r="A182" s="13" t="n"/>
      <c r="B182" s="6" t="n"/>
      <c r="C182" s="6" t="n"/>
      <c r="D182" s="4" t="n"/>
      <c r="E182" s="4" t="n"/>
      <c r="F182" s="4" t="n"/>
      <c r="G182" s="4" t="n"/>
      <c r="H182" s="4" t="n"/>
      <c r="I182" s="4" t="n"/>
      <c r="J182" s="4" t="n"/>
      <c r="K182" s="4" t="n"/>
      <c r="L182" s="4" t="n"/>
      <c r="M182" s="4" t="n"/>
      <c r="N182" s="6" t="n"/>
      <c r="O182" s="6" t="n"/>
      <c r="P182" s="14">
        <f>IF($B182="","",(E182="Clair")*'Critères et poids'!$G$5+(E182="Partiel")*'Critères et poids'!$G$5/2+(F182="Clair")*'Critères et poids'!$G$6+(F182="Partiel")*'Critères et poids'!$G$6/2+(G182="Clair")*'Critères et poids'!$G$7+(G182="Partiel")*'Critères et poids'!$G$7/2+(H182="Clair")*'Critères et poids'!$G$8+(H182="Partiel")*'Critères et poids'!$G$8/2)</f>
        <v/>
      </c>
      <c r="Q182" s="14">
        <f>IF($B182="","",(I182="Clair")*'Critères et poids'!$G$9+(I182="Partiel")*'Critères et poids'!$G$9/2+(J182="Clair")*'Critères et poids'!$G$10+(J182="Partiel")*'Critères et poids'!$G$10/2+(K182="Clair")*'Critères et poids'!$G$11+(K182="Partiel")*'Critères et poids'!$G$11/2+(L182="Clair")*'Critères et poids'!$G$12+(L182="Partiel")*'Critères et poids'!$G$12/2+(M182="Clair")*'Critères et poids'!$G$13+(M182="Partiel")*'Critères et poids'!$G$13/2)</f>
        <v/>
      </c>
      <c r="R182" s="14">
        <f>IF($B182="","",IFERROR(VLOOKUP(N182,'Critères et poids'!$B$17:$C$20,2,FALSE),0))</f>
        <v/>
      </c>
      <c r="S182" s="9">
        <f>IF($B182="","",MAX(0,P182+Q182+R182))</f>
        <v/>
      </c>
      <c r="T182" s="9">
        <f>IF($B182="","",IF(O182&lt;&gt;"","X",IF(S182&gt;='Critères et poids'!$C$29,"A",IF(S182&gt;='Critères et poids'!$C$30,"B","C"))))</f>
        <v/>
      </c>
      <c r="U182" s="14">
        <f>IF(T182="","",INDEX('Critères et poids'!$D$29:$D$32,MATCH(T182,'Critères et poids'!$A$29:$A$32,0)))</f>
        <v/>
      </c>
      <c r="V182" s="14">
        <f>IF(T182="","",INDEX('Critères et poids'!$F$29:$F$32,MATCH(T182,'Critères et poids'!$A$29:$A$32,0)))</f>
        <v/>
      </c>
      <c r="W182" s="15">
        <f>IF(OR(AH182="",AJ182=""),"",IF(AI182+AJ182*60&lt;=ROUND('Critères et poids'!$C$37*1440,0),INT(AH182)+(AI182+AJ182*60)/1440,WORKDAY(INT(AH182),1+INT((AI182+AJ182*60-ROUND('Critères et poids'!$C$37*1440,0)-1)/(ROUND('Critères et poids'!$C$37*1440,0)-ROUND('Critères et poids'!$C$36*1440,0))))+(ROUND('Critères et poids'!$C$36*1440,0)+AI182+AJ182*60-ROUND('Critères et poids'!$C$37*1440,0)-INT((AI182+AJ182*60-ROUND('Critères et poids'!$C$37*1440,0)-1)/(ROUND('Critères et poids'!$C$37*1440,0)-ROUND('Critères et poids'!$C$36*1440,0)))*(ROUND('Critères et poids'!$C$37*1440,0)-ROUND('Critères et poids'!$C$36*1440,0)))/1440))</f>
        <v/>
      </c>
      <c r="X182" s="16" t="n"/>
      <c r="Y182" s="14">
        <f>IF(W182="","",IF(X182="",IF(NOW()&gt;W182,"En retard","En attente"),IF(X182&lt;=W182,"À temps","En retard")))</f>
        <v/>
      </c>
      <c r="Z182" s="17" t="n"/>
      <c r="AA182" s="14">
        <f>IF($B182="","",IF(OR(T182="X",AD182&lt;&gt;""),0,MAX(0,MIN(Q182,'Critères et poids'!$C$38*INT((TODAY()-IF(Z182&lt;&gt;"",Z182,INT($A182)))/7)))))</f>
        <v/>
      </c>
      <c r="AB182" s="14">
        <f>IF($B182="","",MAX(0,S182-AA182))</f>
        <v/>
      </c>
      <c r="AC182" s="9">
        <f>IF($B182="","",IF(T182="X","X",IF(AB182&gt;='Critères et poids'!$C$29,"A",IF(AB182&gt;='Critères et poids'!$C$30,"B","C"))))</f>
        <v/>
      </c>
      <c r="AD182" s="4" t="n"/>
      <c r="AE182" s="18" t="n"/>
      <c r="AF182" s="6" t="n"/>
      <c r="AH182">
        <f>IF($A182="","",IF(OR(WEEKDAY($A182,2)&gt;5,ROUND(MOD($A182,1)*1440,0)&gt;=ROUND('Critères et poids'!$C$37*1440,0)),WORKDAY(INT($A182),1)+ROUND('Critères et poids'!$C$36*1440,0)/1440,IF(ROUND(MOD($A182,1)*1440,0)&lt;ROUND('Critères et poids'!$C$36*1440,0),INT($A182)+ROUND('Critères et poids'!$C$36*1440,0)/1440,$A182)))</f>
        <v/>
      </c>
      <c r="AI182">
        <f>IF(AH182="","",ROUND(MOD(AH182,1)*1440,0))</f>
        <v/>
      </c>
      <c r="AJ182">
        <f>IF(T182="","",INDEX('Critères et poids'!$E$29:$E$32,MATCH(T182,'Critères et poids'!$A$29:$A$32,0)))</f>
        <v/>
      </c>
    </row>
    <row r="183">
      <c r="A183" s="13" t="n"/>
      <c r="B183" s="6" t="n"/>
      <c r="C183" s="6" t="n"/>
      <c r="D183" s="4" t="n"/>
      <c r="E183" s="4" t="n"/>
      <c r="F183" s="4" t="n"/>
      <c r="G183" s="4" t="n"/>
      <c r="H183" s="4" t="n"/>
      <c r="I183" s="4" t="n"/>
      <c r="J183" s="4" t="n"/>
      <c r="K183" s="4" t="n"/>
      <c r="L183" s="4" t="n"/>
      <c r="M183" s="4" t="n"/>
      <c r="N183" s="6" t="n"/>
      <c r="O183" s="6" t="n"/>
      <c r="P183" s="14">
        <f>IF($B183="","",(E183="Clair")*'Critères et poids'!$G$5+(E183="Partiel")*'Critères et poids'!$G$5/2+(F183="Clair")*'Critères et poids'!$G$6+(F183="Partiel")*'Critères et poids'!$G$6/2+(G183="Clair")*'Critères et poids'!$G$7+(G183="Partiel")*'Critères et poids'!$G$7/2+(H183="Clair")*'Critères et poids'!$G$8+(H183="Partiel")*'Critères et poids'!$G$8/2)</f>
        <v/>
      </c>
      <c r="Q183" s="14">
        <f>IF($B183="","",(I183="Clair")*'Critères et poids'!$G$9+(I183="Partiel")*'Critères et poids'!$G$9/2+(J183="Clair")*'Critères et poids'!$G$10+(J183="Partiel")*'Critères et poids'!$G$10/2+(K183="Clair")*'Critères et poids'!$G$11+(K183="Partiel")*'Critères et poids'!$G$11/2+(L183="Clair")*'Critères et poids'!$G$12+(L183="Partiel")*'Critères et poids'!$G$12/2+(M183="Clair")*'Critères et poids'!$G$13+(M183="Partiel")*'Critères et poids'!$G$13/2)</f>
        <v/>
      </c>
      <c r="R183" s="14">
        <f>IF($B183="","",IFERROR(VLOOKUP(N183,'Critères et poids'!$B$17:$C$20,2,FALSE),0))</f>
        <v/>
      </c>
      <c r="S183" s="9">
        <f>IF($B183="","",MAX(0,P183+Q183+R183))</f>
        <v/>
      </c>
      <c r="T183" s="9">
        <f>IF($B183="","",IF(O183&lt;&gt;"","X",IF(S183&gt;='Critères et poids'!$C$29,"A",IF(S183&gt;='Critères et poids'!$C$30,"B","C"))))</f>
        <v/>
      </c>
      <c r="U183" s="14">
        <f>IF(T183="","",INDEX('Critères et poids'!$D$29:$D$32,MATCH(T183,'Critères et poids'!$A$29:$A$32,0)))</f>
        <v/>
      </c>
      <c r="V183" s="14">
        <f>IF(T183="","",INDEX('Critères et poids'!$F$29:$F$32,MATCH(T183,'Critères et poids'!$A$29:$A$32,0)))</f>
        <v/>
      </c>
      <c r="W183" s="15">
        <f>IF(OR(AH183="",AJ183=""),"",IF(AI183+AJ183*60&lt;=ROUND('Critères et poids'!$C$37*1440,0),INT(AH183)+(AI183+AJ183*60)/1440,WORKDAY(INT(AH183),1+INT((AI183+AJ183*60-ROUND('Critères et poids'!$C$37*1440,0)-1)/(ROUND('Critères et poids'!$C$37*1440,0)-ROUND('Critères et poids'!$C$36*1440,0))))+(ROUND('Critères et poids'!$C$36*1440,0)+AI183+AJ183*60-ROUND('Critères et poids'!$C$37*1440,0)-INT((AI183+AJ183*60-ROUND('Critères et poids'!$C$37*1440,0)-1)/(ROUND('Critères et poids'!$C$37*1440,0)-ROUND('Critères et poids'!$C$36*1440,0)))*(ROUND('Critères et poids'!$C$37*1440,0)-ROUND('Critères et poids'!$C$36*1440,0)))/1440))</f>
        <v/>
      </c>
      <c r="X183" s="16" t="n"/>
      <c r="Y183" s="14">
        <f>IF(W183="","",IF(X183="",IF(NOW()&gt;W183,"En retard","En attente"),IF(X183&lt;=W183,"À temps","En retard")))</f>
        <v/>
      </c>
      <c r="Z183" s="17" t="n"/>
      <c r="AA183" s="14">
        <f>IF($B183="","",IF(OR(T183="X",AD183&lt;&gt;""),0,MAX(0,MIN(Q183,'Critères et poids'!$C$38*INT((TODAY()-IF(Z183&lt;&gt;"",Z183,INT($A183)))/7)))))</f>
        <v/>
      </c>
      <c r="AB183" s="14">
        <f>IF($B183="","",MAX(0,S183-AA183))</f>
        <v/>
      </c>
      <c r="AC183" s="9">
        <f>IF($B183="","",IF(T183="X","X",IF(AB183&gt;='Critères et poids'!$C$29,"A",IF(AB183&gt;='Critères et poids'!$C$30,"B","C"))))</f>
        <v/>
      </c>
      <c r="AD183" s="4" t="n"/>
      <c r="AE183" s="18" t="n"/>
      <c r="AF183" s="6" t="n"/>
      <c r="AH183">
        <f>IF($A183="","",IF(OR(WEEKDAY($A183,2)&gt;5,ROUND(MOD($A183,1)*1440,0)&gt;=ROUND('Critères et poids'!$C$37*1440,0)),WORKDAY(INT($A183),1)+ROUND('Critères et poids'!$C$36*1440,0)/1440,IF(ROUND(MOD($A183,1)*1440,0)&lt;ROUND('Critères et poids'!$C$36*1440,0),INT($A183)+ROUND('Critères et poids'!$C$36*1440,0)/1440,$A183)))</f>
        <v/>
      </c>
      <c r="AI183">
        <f>IF(AH183="","",ROUND(MOD(AH183,1)*1440,0))</f>
        <v/>
      </c>
      <c r="AJ183">
        <f>IF(T183="","",INDEX('Critères et poids'!$E$29:$E$32,MATCH(T183,'Critères et poids'!$A$29:$A$32,0)))</f>
        <v/>
      </c>
    </row>
    <row r="184">
      <c r="A184" s="13" t="n"/>
      <c r="B184" s="6" t="n"/>
      <c r="C184" s="6" t="n"/>
      <c r="D184" s="4" t="n"/>
      <c r="E184" s="4" t="n"/>
      <c r="F184" s="4" t="n"/>
      <c r="G184" s="4" t="n"/>
      <c r="H184" s="4" t="n"/>
      <c r="I184" s="4" t="n"/>
      <c r="J184" s="4" t="n"/>
      <c r="K184" s="4" t="n"/>
      <c r="L184" s="4" t="n"/>
      <c r="M184" s="4" t="n"/>
      <c r="N184" s="6" t="n"/>
      <c r="O184" s="6" t="n"/>
      <c r="P184" s="14">
        <f>IF($B184="","",(E184="Clair")*'Critères et poids'!$G$5+(E184="Partiel")*'Critères et poids'!$G$5/2+(F184="Clair")*'Critères et poids'!$G$6+(F184="Partiel")*'Critères et poids'!$G$6/2+(G184="Clair")*'Critères et poids'!$G$7+(G184="Partiel")*'Critères et poids'!$G$7/2+(H184="Clair")*'Critères et poids'!$G$8+(H184="Partiel")*'Critères et poids'!$G$8/2)</f>
        <v/>
      </c>
      <c r="Q184" s="14">
        <f>IF($B184="","",(I184="Clair")*'Critères et poids'!$G$9+(I184="Partiel")*'Critères et poids'!$G$9/2+(J184="Clair")*'Critères et poids'!$G$10+(J184="Partiel")*'Critères et poids'!$G$10/2+(K184="Clair")*'Critères et poids'!$G$11+(K184="Partiel")*'Critères et poids'!$G$11/2+(L184="Clair")*'Critères et poids'!$G$12+(L184="Partiel")*'Critères et poids'!$G$12/2+(M184="Clair")*'Critères et poids'!$G$13+(M184="Partiel")*'Critères et poids'!$G$13/2)</f>
        <v/>
      </c>
      <c r="R184" s="14">
        <f>IF($B184="","",IFERROR(VLOOKUP(N184,'Critères et poids'!$B$17:$C$20,2,FALSE),0))</f>
        <v/>
      </c>
      <c r="S184" s="9">
        <f>IF($B184="","",MAX(0,P184+Q184+R184))</f>
        <v/>
      </c>
      <c r="T184" s="9">
        <f>IF($B184="","",IF(O184&lt;&gt;"","X",IF(S184&gt;='Critères et poids'!$C$29,"A",IF(S184&gt;='Critères et poids'!$C$30,"B","C"))))</f>
        <v/>
      </c>
      <c r="U184" s="14">
        <f>IF(T184="","",INDEX('Critères et poids'!$D$29:$D$32,MATCH(T184,'Critères et poids'!$A$29:$A$32,0)))</f>
        <v/>
      </c>
      <c r="V184" s="14">
        <f>IF(T184="","",INDEX('Critères et poids'!$F$29:$F$32,MATCH(T184,'Critères et poids'!$A$29:$A$32,0)))</f>
        <v/>
      </c>
      <c r="W184" s="15">
        <f>IF(OR(AH184="",AJ184=""),"",IF(AI184+AJ184*60&lt;=ROUND('Critères et poids'!$C$37*1440,0),INT(AH184)+(AI184+AJ184*60)/1440,WORKDAY(INT(AH184),1+INT((AI184+AJ184*60-ROUND('Critères et poids'!$C$37*1440,0)-1)/(ROUND('Critères et poids'!$C$37*1440,0)-ROUND('Critères et poids'!$C$36*1440,0))))+(ROUND('Critères et poids'!$C$36*1440,0)+AI184+AJ184*60-ROUND('Critères et poids'!$C$37*1440,0)-INT((AI184+AJ184*60-ROUND('Critères et poids'!$C$37*1440,0)-1)/(ROUND('Critères et poids'!$C$37*1440,0)-ROUND('Critères et poids'!$C$36*1440,0)))*(ROUND('Critères et poids'!$C$37*1440,0)-ROUND('Critères et poids'!$C$36*1440,0)))/1440))</f>
        <v/>
      </c>
      <c r="X184" s="16" t="n"/>
      <c r="Y184" s="14">
        <f>IF(W184="","",IF(X184="",IF(NOW()&gt;W184,"En retard","En attente"),IF(X184&lt;=W184,"À temps","En retard")))</f>
        <v/>
      </c>
      <c r="Z184" s="17" t="n"/>
      <c r="AA184" s="14">
        <f>IF($B184="","",IF(OR(T184="X",AD184&lt;&gt;""),0,MAX(0,MIN(Q184,'Critères et poids'!$C$38*INT((TODAY()-IF(Z184&lt;&gt;"",Z184,INT($A184)))/7)))))</f>
        <v/>
      </c>
      <c r="AB184" s="14">
        <f>IF($B184="","",MAX(0,S184-AA184))</f>
        <v/>
      </c>
      <c r="AC184" s="9">
        <f>IF($B184="","",IF(T184="X","X",IF(AB184&gt;='Critères et poids'!$C$29,"A",IF(AB184&gt;='Critères et poids'!$C$30,"B","C"))))</f>
        <v/>
      </c>
      <c r="AD184" s="4" t="n"/>
      <c r="AE184" s="18" t="n"/>
      <c r="AF184" s="6" t="n"/>
      <c r="AH184">
        <f>IF($A184="","",IF(OR(WEEKDAY($A184,2)&gt;5,ROUND(MOD($A184,1)*1440,0)&gt;=ROUND('Critères et poids'!$C$37*1440,0)),WORKDAY(INT($A184),1)+ROUND('Critères et poids'!$C$36*1440,0)/1440,IF(ROUND(MOD($A184,1)*1440,0)&lt;ROUND('Critères et poids'!$C$36*1440,0),INT($A184)+ROUND('Critères et poids'!$C$36*1440,0)/1440,$A184)))</f>
        <v/>
      </c>
      <c r="AI184">
        <f>IF(AH184="","",ROUND(MOD(AH184,1)*1440,0))</f>
        <v/>
      </c>
      <c r="AJ184">
        <f>IF(T184="","",INDEX('Critères et poids'!$E$29:$E$32,MATCH(T184,'Critères et poids'!$A$29:$A$32,0)))</f>
        <v/>
      </c>
    </row>
    <row r="185">
      <c r="A185" s="13" t="n"/>
      <c r="B185" s="6" t="n"/>
      <c r="C185" s="6" t="n"/>
      <c r="D185" s="4" t="n"/>
      <c r="E185" s="4" t="n"/>
      <c r="F185" s="4" t="n"/>
      <c r="G185" s="4" t="n"/>
      <c r="H185" s="4" t="n"/>
      <c r="I185" s="4" t="n"/>
      <c r="J185" s="4" t="n"/>
      <c r="K185" s="4" t="n"/>
      <c r="L185" s="4" t="n"/>
      <c r="M185" s="4" t="n"/>
      <c r="N185" s="6" t="n"/>
      <c r="O185" s="6" t="n"/>
      <c r="P185" s="14">
        <f>IF($B185="","",(E185="Clair")*'Critères et poids'!$G$5+(E185="Partiel")*'Critères et poids'!$G$5/2+(F185="Clair")*'Critères et poids'!$G$6+(F185="Partiel")*'Critères et poids'!$G$6/2+(G185="Clair")*'Critères et poids'!$G$7+(G185="Partiel")*'Critères et poids'!$G$7/2+(H185="Clair")*'Critères et poids'!$G$8+(H185="Partiel")*'Critères et poids'!$G$8/2)</f>
        <v/>
      </c>
      <c r="Q185" s="14">
        <f>IF($B185="","",(I185="Clair")*'Critères et poids'!$G$9+(I185="Partiel")*'Critères et poids'!$G$9/2+(J185="Clair")*'Critères et poids'!$G$10+(J185="Partiel")*'Critères et poids'!$G$10/2+(K185="Clair")*'Critères et poids'!$G$11+(K185="Partiel")*'Critères et poids'!$G$11/2+(L185="Clair")*'Critères et poids'!$G$12+(L185="Partiel")*'Critères et poids'!$G$12/2+(M185="Clair")*'Critères et poids'!$G$13+(M185="Partiel")*'Critères et poids'!$G$13/2)</f>
        <v/>
      </c>
      <c r="R185" s="14">
        <f>IF($B185="","",IFERROR(VLOOKUP(N185,'Critères et poids'!$B$17:$C$20,2,FALSE),0))</f>
        <v/>
      </c>
      <c r="S185" s="9">
        <f>IF($B185="","",MAX(0,P185+Q185+R185))</f>
        <v/>
      </c>
      <c r="T185" s="9">
        <f>IF($B185="","",IF(O185&lt;&gt;"","X",IF(S185&gt;='Critères et poids'!$C$29,"A",IF(S185&gt;='Critères et poids'!$C$30,"B","C"))))</f>
        <v/>
      </c>
      <c r="U185" s="14">
        <f>IF(T185="","",INDEX('Critères et poids'!$D$29:$D$32,MATCH(T185,'Critères et poids'!$A$29:$A$32,0)))</f>
        <v/>
      </c>
      <c r="V185" s="14">
        <f>IF(T185="","",INDEX('Critères et poids'!$F$29:$F$32,MATCH(T185,'Critères et poids'!$A$29:$A$32,0)))</f>
        <v/>
      </c>
      <c r="W185" s="15">
        <f>IF(OR(AH185="",AJ185=""),"",IF(AI185+AJ185*60&lt;=ROUND('Critères et poids'!$C$37*1440,0),INT(AH185)+(AI185+AJ185*60)/1440,WORKDAY(INT(AH185),1+INT((AI185+AJ185*60-ROUND('Critères et poids'!$C$37*1440,0)-1)/(ROUND('Critères et poids'!$C$37*1440,0)-ROUND('Critères et poids'!$C$36*1440,0))))+(ROUND('Critères et poids'!$C$36*1440,0)+AI185+AJ185*60-ROUND('Critères et poids'!$C$37*1440,0)-INT((AI185+AJ185*60-ROUND('Critères et poids'!$C$37*1440,0)-1)/(ROUND('Critères et poids'!$C$37*1440,0)-ROUND('Critères et poids'!$C$36*1440,0)))*(ROUND('Critères et poids'!$C$37*1440,0)-ROUND('Critères et poids'!$C$36*1440,0)))/1440))</f>
        <v/>
      </c>
      <c r="X185" s="16" t="n"/>
      <c r="Y185" s="14">
        <f>IF(W185="","",IF(X185="",IF(NOW()&gt;W185,"En retard","En attente"),IF(X185&lt;=W185,"À temps","En retard")))</f>
        <v/>
      </c>
      <c r="Z185" s="17" t="n"/>
      <c r="AA185" s="14">
        <f>IF($B185="","",IF(OR(T185="X",AD185&lt;&gt;""),0,MAX(0,MIN(Q185,'Critères et poids'!$C$38*INT((TODAY()-IF(Z185&lt;&gt;"",Z185,INT($A185)))/7)))))</f>
        <v/>
      </c>
      <c r="AB185" s="14">
        <f>IF($B185="","",MAX(0,S185-AA185))</f>
        <v/>
      </c>
      <c r="AC185" s="9">
        <f>IF($B185="","",IF(T185="X","X",IF(AB185&gt;='Critères et poids'!$C$29,"A",IF(AB185&gt;='Critères et poids'!$C$30,"B","C"))))</f>
        <v/>
      </c>
      <c r="AD185" s="4" t="n"/>
      <c r="AE185" s="18" t="n"/>
      <c r="AF185" s="6" t="n"/>
      <c r="AH185">
        <f>IF($A185="","",IF(OR(WEEKDAY($A185,2)&gt;5,ROUND(MOD($A185,1)*1440,0)&gt;=ROUND('Critères et poids'!$C$37*1440,0)),WORKDAY(INT($A185),1)+ROUND('Critères et poids'!$C$36*1440,0)/1440,IF(ROUND(MOD($A185,1)*1440,0)&lt;ROUND('Critères et poids'!$C$36*1440,0),INT($A185)+ROUND('Critères et poids'!$C$36*1440,0)/1440,$A185)))</f>
        <v/>
      </c>
      <c r="AI185">
        <f>IF(AH185="","",ROUND(MOD(AH185,1)*1440,0))</f>
        <v/>
      </c>
      <c r="AJ185">
        <f>IF(T185="","",INDEX('Critères et poids'!$E$29:$E$32,MATCH(T185,'Critères et poids'!$A$29:$A$32,0)))</f>
        <v/>
      </c>
    </row>
    <row r="186">
      <c r="A186" s="13" t="n"/>
      <c r="B186" s="6" t="n"/>
      <c r="C186" s="6" t="n"/>
      <c r="D186" s="4" t="n"/>
      <c r="E186" s="4" t="n"/>
      <c r="F186" s="4" t="n"/>
      <c r="G186" s="4" t="n"/>
      <c r="H186" s="4" t="n"/>
      <c r="I186" s="4" t="n"/>
      <c r="J186" s="4" t="n"/>
      <c r="K186" s="4" t="n"/>
      <c r="L186" s="4" t="n"/>
      <c r="M186" s="4" t="n"/>
      <c r="N186" s="6" t="n"/>
      <c r="O186" s="6" t="n"/>
      <c r="P186" s="14">
        <f>IF($B186="","",(E186="Clair")*'Critères et poids'!$G$5+(E186="Partiel")*'Critères et poids'!$G$5/2+(F186="Clair")*'Critères et poids'!$G$6+(F186="Partiel")*'Critères et poids'!$G$6/2+(G186="Clair")*'Critères et poids'!$G$7+(G186="Partiel")*'Critères et poids'!$G$7/2+(H186="Clair")*'Critères et poids'!$G$8+(H186="Partiel")*'Critères et poids'!$G$8/2)</f>
        <v/>
      </c>
      <c r="Q186" s="14">
        <f>IF($B186="","",(I186="Clair")*'Critères et poids'!$G$9+(I186="Partiel")*'Critères et poids'!$G$9/2+(J186="Clair")*'Critères et poids'!$G$10+(J186="Partiel")*'Critères et poids'!$G$10/2+(K186="Clair")*'Critères et poids'!$G$11+(K186="Partiel")*'Critères et poids'!$G$11/2+(L186="Clair")*'Critères et poids'!$G$12+(L186="Partiel")*'Critères et poids'!$G$12/2+(M186="Clair")*'Critères et poids'!$G$13+(M186="Partiel")*'Critères et poids'!$G$13/2)</f>
        <v/>
      </c>
      <c r="R186" s="14">
        <f>IF($B186="","",IFERROR(VLOOKUP(N186,'Critères et poids'!$B$17:$C$20,2,FALSE),0))</f>
        <v/>
      </c>
      <c r="S186" s="9">
        <f>IF($B186="","",MAX(0,P186+Q186+R186))</f>
        <v/>
      </c>
      <c r="T186" s="9">
        <f>IF($B186="","",IF(O186&lt;&gt;"","X",IF(S186&gt;='Critères et poids'!$C$29,"A",IF(S186&gt;='Critères et poids'!$C$30,"B","C"))))</f>
        <v/>
      </c>
      <c r="U186" s="14">
        <f>IF(T186="","",INDEX('Critères et poids'!$D$29:$D$32,MATCH(T186,'Critères et poids'!$A$29:$A$32,0)))</f>
        <v/>
      </c>
      <c r="V186" s="14">
        <f>IF(T186="","",INDEX('Critères et poids'!$F$29:$F$32,MATCH(T186,'Critères et poids'!$A$29:$A$32,0)))</f>
        <v/>
      </c>
      <c r="W186" s="15">
        <f>IF(OR(AH186="",AJ186=""),"",IF(AI186+AJ186*60&lt;=ROUND('Critères et poids'!$C$37*1440,0),INT(AH186)+(AI186+AJ186*60)/1440,WORKDAY(INT(AH186),1+INT((AI186+AJ186*60-ROUND('Critères et poids'!$C$37*1440,0)-1)/(ROUND('Critères et poids'!$C$37*1440,0)-ROUND('Critères et poids'!$C$36*1440,0))))+(ROUND('Critères et poids'!$C$36*1440,0)+AI186+AJ186*60-ROUND('Critères et poids'!$C$37*1440,0)-INT((AI186+AJ186*60-ROUND('Critères et poids'!$C$37*1440,0)-1)/(ROUND('Critères et poids'!$C$37*1440,0)-ROUND('Critères et poids'!$C$36*1440,0)))*(ROUND('Critères et poids'!$C$37*1440,0)-ROUND('Critères et poids'!$C$36*1440,0)))/1440))</f>
        <v/>
      </c>
      <c r="X186" s="16" t="n"/>
      <c r="Y186" s="14">
        <f>IF(W186="","",IF(X186="",IF(NOW()&gt;W186,"En retard","En attente"),IF(X186&lt;=W186,"À temps","En retard")))</f>
        <v/>
      </c>
      <c r="Z186" s="17" t="n"/>
      <c r="AA186" s="14">
        <f>IF($B186="","",IF(OR(T186="X",AD186&lt;&gt;""),0,MAX(0,MIN(Q186,'Critères et poids'!$C$38*INT((TODAY()-IF(Z186&lt;&gt;"",Z186,INT($A186)))/7)))))</f>
        <v/>
      </c>
      <c r="AB186" s="14">
        <f>IF($B186="","",MAX(0,S186-AA186))</f>
        <v/>
      </c>
      <c r="AC186" s="9">
        <f>IF($B186="","",IF(T186="X","X",IF(AB186&gt;='Critères et poids'!$C$29,"A",IF(AB186&gt;='Critères et poids'!$C$30,"B","C"))))</f>
        <v/>
      </c>
      <c r="AD186" s="4" t="n"/>
      <c r="AE186" s="18" t="n"/>
      <c r="AF186" s="6" t="n"/>
      <c r="AH186">
        <f>IF($A186="","",IF(OR(WEEKDAY($A186,2)&gt;5,ROUND(MOD($A186,1)*1440,0)&gt;=ROUND('Critères et poids'!$C$37*1440,0)),WORKDAY(INT($A186),1)+ROUND('Critères et poids'!$C$36*1440,0)/1440,IF(ROUND(MOD($A186,1)*1440,0)&lt;ROUND('Critères et poids'!$C$36*1440,0),INT($A186)+ROUND('Critères et poids'!$C$36*1440,0)/1440,$A186)))</f>
        <v/>
      </c>
      <c r="AI186">
        <f>IF(AH186="","",ROUND(MOD(AH186,1)*1440,0))</f>
        <v/>
      </c>
      <c r="AJ186">
        <f>IF(T186="","",INDEX('Critères et poids'!$E$29:$E$32,MATCH(T186,'Critères et poids'!$A$29:$A$32,0)))</f>
        <v/>
      </c>
    </row>
    <row r="187">
      <c r="A187" s="13" t="n"/>
      <c r="B187" s="6" t="n"/>
      <c r="C187" s="6" t="n"/>
      <c r="D187" s="4" t="n"/>
      <c r="E187" s="4" t="n"/>
      <c r="F187" s="4" t="n"/>
      <c r="G187" s="4" t="n"/>
      <c r="H187" s="4" t="n"/>
      <c r="I187" s="4" t="n"/>
      <c r="J187" s="4" t="n"/>
      <c r="K187" s="4" t="n"/>
      <c r="L187" s="4" t="n"/>
      <c r="M187" s="4" t="n"/>
      <c r="N187" s="6" t="n"/>
      <c r="O187" s="6" t="n"/>
      <c r="P187" s="14">
        <f>IF($B187="","",(E187="Clair")*'Critères et poids'!$G$5+(E187="Partiel")*'Critères et poids'!$G$5/2+(F187="Clair")*'Critères et poids'!$G$6+(F187="Partiel")*'Critères et poids'!$G$6/2+(G187="Clair")*'Critères et poids'!$G$7+(G187="Partiel")*'Critères et poids'!$G$7/2+(H187="Clair")*'Critères et poids'!$G$8+(H187="Partiel")*'Critères et poids'!$G$8/2)</f>
        <v/>
      </c>
      <c r="Q187" s="14">
        <f>IF($B187="","",(I187="Clair")*'Critères et poids'!$G$9+(I187="Partiel")*'Critères et poids'!$G$9/2+(J187="Clair")*'Critères et poids'!$G$10+(J187="Partiel")*'Critères et poids'!$G$10/2+(K187="Clair")*'Critères et poids'!$G$11+(K187="Partiel")*'Critères et poids'!$G$11/2+(L187="Clair")*'Critères et poids'!$G$12+(L187="Partiel")*'Critères et poids'!$G$12/2+(M187="Clair")*'Critères et poids'!$G$13+(M187="Partiel")*'Critères et poids'!$G$13/2)</f>
        <v/>
      </c>
      <c r="R187" s="14">
        <f>IF($B187="","",IFERROR(VLOOKUP(N187,'Critères et poids'!$B$17:$C$20,2,FALSE),0))</f>
        <v/>
      </c>
      <c r="S187" s="9">
        <f>IF($B187="","",MAX(0,P187+Q187+R187))</f>
        <v/>
      </c>
      <c r="T187" s="9">
        <f>IF($B187="","",IF(O187&lt;&gt;"","X",IF(S187&gt;='Critères et poids'!$C$29,"A",IF(S187&gt;='Critères et poids'!$C$30,"B","C"))))</f>
        <v/>
      </c>
      <c r="U187" s="14">
        <f>IF(T187="","",INDEX('Critères et poids'!$D$29:$D$32,MATCH(T187,'Critères et poids'!$A$29:$A$32,0)))</f>
        <v/>
      </c>
      <c r="V187" s="14">
        <f>IF(T187="","",INDEX('Critères et poids'!$F$29:$F$32,MATCH(T187,'Critères et poids'!$A$29:$A$32,0)))</f>
        <v/>
      </c>
      <c r="W187" s="15">
        <f>IF(OR(AH187="",AJ187=""),"",IF(AI187+AJ187*60&lt;=ROUND('Critères et poids'!$C$37*1440,0),INT(AH187)+(AI187+AJ187*60)/1440,WORKDAY(INT(AH187),1+INT((AI187+AJ187*60-ROUND('Critères et poids'!$C$37*1440,0)-1)/(ROUND('Critères et poids'!$C$37*1440,0)-ROUND('Critères et poids'!$C$36*1440,0))))+(ROUND('Critères et poids'!$C$36*1440,0)+AI187+AJ187*60-ROUND('Critères et poids'!$C$37*1440,0)-INT((AI187+AJ187*60-ROUND('Critères et poids'!$C$37*1440,0)-1)/(ROUND('Critères et poids'!$C$37*1440,0)-ROUND('Critères et poids'!$C$36*1440,0)))*(ROUND('Critères et poids'!$C$37*1440,0)-ROUND('Critères et poids'!$C$36*1440,0)))/1440))</f>
        <v/>
      </c>
      <c r="X187" s="16" t="n"/>
      <c r="Y187" s="14">
        <f>IF(W187="","",IF(X187="",IF(NOW()&gt;W187,"En retard","En attente"),IF(X187&lt;=W187,"À temps","En retard")))</f>
        <v/>
      </c>
      <c r="Z187" s="17" t="n"/>
      <c r="AA187" s="14">
        <f>IF($B187="","",IF(OR(T187="X",AD187&lt;&gt;""),0,MAX(0,MIN(Q187,'Critères et poids'!$C$38*INT((TODAY()-IF(Z187&lt;&gt;"",Z187,INT($A187)))/7)))))</f>
        <v/>
      </c>
      <c r="AB187" s="14">
        <f>IF($B187="","",MAX(0,S187-AA187))</f>
        <v/>
      </c>
      <c r="AC187" s="9">
        <f>IF($B187="","",IF(T187="X","X",IF(AB187&gt;='Critères et poids'!$C$29,"A",IF(AB187&gt;='Critères et poids'!$C$30,"B","C"))))</f>
        <v/>
      </c>
      <c r="AD187" s="4" t="n"/>
      <c r="AE187" s="18" t="n"/>
      <c r="AF187" s="6" t="n"/>
      <c r="AH187">
        <f>IF($A187="","",IF(OR(WEEKDAY($A187,2)&gt;5,ROUND(MOD($A187,1)*1440,0)&gt;=ROUND('Critères et poids'!$C$37*1440,0)),WORKDAY(INT($A187),1)+ROUND('Critères et poids'!$C$36*1440,0)/1440,IF(ROUND(MOD($A187,1)*1440,0)&lt;ROUND('Critères et poids'!$C$36*1440,0),INT($A187)+ROUND('Critères et poids'!$C$36*1440,0)/1440,$A187)))</f>
        <v/>
      </c>
      <c r="AI187">
        <f>IF(AH187="","",ROUND(MOD(AH187,1)*1440,0))</f>
        <v/>
      </c>
      <c r="AJ187">
        <f>IF(T187="","",INDEX('Critères et poids'!$E$29:$E$32,MATCH(T187,'Critères et poids'!$A$29:$A$32,0)))</f>
        <v/>
      </c>
    </row>
    <row r="188">
      <c r="A188" s="13" t="n"/>
      <c r="B188" s="6" t="n"/>
      <c r="C188" s="6" t="n"/>
      <c r="D188" s="4" t="n"/>
      <c r="E188" s="4" t="n"/>
      <c r="F188" s="4" t="n"/>
      <c r="G188" s="4" t="n"/>
      <c r="H188" s="4" t="n"/>
      <c r="I188" s="4" t="n"/>
      <c r="J188" s="4" t="n"/>
      <c r="K188" s="4" t="n"/>
      <c r="L188" s="4" t="n"/>
      <c r="M188" s="4" t="n"/>
      <c r="N188" s="6" t="n"/>
      <c r="O188" s="6" t="n"/>
      <c r="P188" s="14">
        <f>IF($B188="","",(E188="Clair")*'Critères et poids'!$G$5+(E188="Partiel")*'Critères et poids'!$G$5/2+(F188="Clair")*'Critères et poids'!$G$6+(F188="Partiel")*'Critères et poids'!$G$6/2+(G188="Clair")*'Critères et poids'!$G$7+(G188="Partiel")*'Critères et poids'!$G$7/2+(H188="Clair")*'Critères et poids'!$G$8+(H188="Partiel")*'Critères et poids'!$G$8/2)</f>
        <v/>
      </c>
      <c r="Q188" s="14">
        <f>IF($B188="","",(I188="Clair")*'Critères et poids'!$G$9+(I188="Partiel")*'Critères et poids'!$G$9/2+(J188="Clair")*'Critères et poids'!$G$10+(J188="Partiel")*'Critères et poids'!$G$10/2+(K188="Clair")*'Critères et poids'!$G$11+(K188="Partiel")*'Critères et poids'!$G$11/2+(L188="Clair")*'Critères et poids'!$G$12+(L188="Partiel")*'Critères et poids'!$G$12/2+(M188="Clair")*'Critères et poids'!$G$13+(M188="Partiel")*'Critères et poids'!$G$13/2)</f>
        <v/>
      </c>
      <c r="R188" s="14">
        <f>IF($B188="","",IFERROR(VLOOKUP(N188,'Critères et poids'!$B$17:$C$20,2,FALSE),0))</f>
        <v/>
      </c>
      <c r="S188" s="9">
        <f>IF($B188="","",MAX(0,P188+Q188+R188))</f>
        <v/>
      </c>
      <c r="T188" s="9">
        <f>IF($B188="","",IF(O188&lt;&gt;"","X",IF(S188&gt;='Critères et poids'!$C$29,"A",IF(S188&gt;='Critères et poids'!$C$30,"B","C"))))</f>
        <v/>
      </c>
      <c r="U188" s="14">
        <f>IF(T188="","",INDEX('Critères et poids'!$D$29:$D$32,MATCH(T188,'Critères et poids'!$A$29:$A$32,0)))</f>
        <v/>
      </c>
      <c r="V188" s="14">
        <f>IF(T188="","",INDEX('Critères et poids'!$F$29:$F$32,MATCH(T188,'Critères et poids'!$A$29:$A$32,0)))</f>
        <v/>
      </c>
      <c r="W188" s="15">
        <f>IF(OR(AH188="",AJ188=""),"",IF(AI188+AJ188*60&lt;=ROUND('Critères et poids'!$C$37*1440,0),INT(AH188)+(AI188+AJ188*60)/1440,WORKDAY(INT(AH188),1+INT((AI188+AJ188*60-ROUND('Critères et poids'!$C$37*1440,0)-1)/(ROUND('Critères et poids'!$C$37*1440,0)-ROUND('Critères et poids'!$C$36*1440,0))))+(ROUND('Critères et poids'!$C$36*1440,0)+AI188+AJ188*60-ROUND('Critères et poids'!$C$37*1440,0)-INT((AI188+AJ188*60-ROUND('Critères et poids'!$C$37*1440,0)-1)/(ROUND('Critères et poids'!$C$37*1440,0)-ROUND('Critères et poids'!$C$36*1440,0)))*(ROUND('Critères et poids'!$C$37*1440,0)-ROUND('Critères et poids'!$C$36*1440,0)))/1440))</f>
        <v/>
      </c>
      <c r="X188" s="16" t="n"/>
      <c r="Y188" s="14">
        <f>IF(W188="","",IF(X188="",IF(NOW()&gt;W188,"En retard","En attente"),IF(X188&lt;=W188,"À temps","En retard")))</f>
        <v/>
      </c>
      <c r="Z188" s="17" t="n"/>
      <c r="AA188" s="14">
        <f>IF($B188="","",IF(OR(T188="X",AD188&lt;&gt;""),0,MAX(0,MIN(Q188,'Critères et poids'!$C$38*INT((TODAY()-IF(Z188&lt;&gt;"",Z188,INT($A188)))/7)))))</f>
        <v/>
      </c>
      <c r="AB188" s="14">
        <f>IF($B188="","",MAX(0,S188-AA188))</f>
        <v/>
      </c>
      <c r="AC188" s="9">
        <f>IF($B188="","",IF(T188="X","X",IF(AB188&gt;='Critères et poids'!$C$29,"A",IF(AB188&gt;='Critères et poids'!$C$30,"B","C"))))</f>
        <v/>
      </c>
      <c r="AD188" s="4" t="n"/>
      <c r="AE188" s="18" t="n"/>
      <c r="AF188" s="6" t="n"/>
      <c r="AH188">
        <f>IF($A188="","",IF(OR(WEEKDAY($A188,2)&gt;5,ROUND(MOD($A188,1)*1440,0)&gt;=ROUND('Critères et poids'!$C$37*1440,0)),WORKDAY(INT($A188),1)+ROUND('Critères et poids'!$C$36*1440,0)/1440,IF(ROUND(MOD($A188,1)*1440,0)&lt;ROUND('Critères et poids'!$C$36*1440,0),INT($A188)+ROUND('Critères et poids'!$C$36*1440,0)/1440,$A188)))</f>
        <v/>
      </c>
      <c r="AI188">
        <f>IF(AH188="","",ROUND(MOD(AH188,1)*1440,0))</f>
        <v/>
      </c>
      <c r="AJ188">
        <f>IF(T188="","",INDEX('Critères et poids'!$E$29:$E$32,MATCH(T188,'Critères et poids'!$A$29:$A$32,0)))</f>
        <v/>
      </c>
    </row>
    <row r="189">
      <c r="A189" s="13" t="n"/>
      <c r="B189" s="6" t="n"/>
      <c r="C189" s="6" t="n"/>
      <c r="D189" s="4" t="n"/>
      <c r="E189" s="4" t="n"/>
      <c r="F189" s="4" t="n"/>
      <c r="G189" s="4" t="n"/>
      <c r="H189" s="4" t="n"/>
      <c r="I189" s="4" t="n"/>
      <c r="J189" s="4" t="n"/>
      <c r="K189" s="4" t="n"/>
      <c r="L189" s="4" t="n"/>
      <c r="M189" s="4" t="n"/>
      <c r="N189" s="6" t="n"/>
      <c r="O189" s="6" t="n"/>
      <c r="P189" s="14">
        <f>IF($B189="","",(E189="Clair")*'Critères et poids'!$G$5+(E189="Partiel")*'Critères et poids'!$G$5/2+(F189="Clair")*'Critères et poids'!$G$6+(F189="Partiel")*'Critères et poids'!$G$6/2+(G189="Clair")*'Critères et poids'!$G$7+(G189="Partiel")*'Critères et poids'!$G$7/2+(H189="Clair")*'Critères et poids'!$G$8+(H189="Partiel")*'Critères et poids'!$G$8/2)</f>
        <v/>
      </c>
      <c r="Q189" s="14">
        <f>IF($B189="","",(I189="Clair")*'Critères et poids'!$G$9+(I189="Partiel")*'Critères et poids'!$G$9/2+(J189="Clair")*'Critères et poids'!$G$10+(J189="Partiel")*'Critères et poids'!$G$10/2+(K189="Clair")*'Critères et poids'!$G$11+(K189="Partiel")*'Critères et poids'!$G$11/2+(L189="Clair")*'Critères et poids'!$G$12+(L189="Partiel")*'Critères et poids'!$G$12/2+(M189="Clair")*'Critères et poids'!$G$13+(M189="Partiel")*'Critères et poids'!$G$13/2)</f>
        <v/>
      </c>
      <c r="R189" s="14">
        <f>IF($B189="","",IFERROR(VLOOKUP(N189,'Critères et poids'!$B$17:$C$20,2,FALSE),0))</f>
        <v/>
      </c>
      <c r="S189" s="9">
        <f>IF($B189="","",MAX(0,P189+Q189+R189))</f>
        <v/>
      </c>
      <c r="T189" s="9">
        <f>IF($B189="","",IF(O189&lt;&gt;"","X",IF(S189&gt;='Critères et poids'!$C$29,"A",IF(S189&gt;='Critères et poids'!$C$30,"B","C"))))</f>
        <v/>
      </c>
      <c r="U189" s="14">
        <f>IF(T189="","",INDEX('Critères et poids'!$D$29:$D$32,MATCH(T189,'Critères et poids'!$A$29:$A$32,0)))</f>
        <v/>
      </c>
      <c r="V189" s="14">
        <f>IF(T189="","",INDEX('Critères et poids'!$F$29:$F$32,MATCH(T189,'Critères et poids'!$A$29:$A$32,0)))</f>
        <v/>
      </c>
      <c r="W189" s="15">
        <f>IF(OR(AH189="",AJ189=""),"",IF(AI189+AJ189*60&lt;=ROUND('Critères et poids'!$C$37*1440,0),INT(AH189)+(AI189+AJ189*60)/1440,WORKDAY(INT(AH189),1+INT((AI189+AJ189*60-ROUND('Critères et poids'!$C$37*1440,0)-1)/(ROUND('Critères et poids'!$C$37*1440,0)-ROUND('Critères et poids'!$C$36*1440,0))))+(ROUND('Critères et poids'!$C$36*1440,0)+AI189+AJ189*60-ROUND('Critères et poids'!$C$37*1440,0)-INT((AI189+AJ189*60-ROUND('Critères et poids'!$C$37*1440,0)-1)/(ROUND('Critères et poids'!$C$37*1440,0)-ROUND('Critères et poids'!$C$36*1440,0)))*(ROUND('Critères et poids'!$C$37*1440,0)-ROUND('Critères et poids'!$C$36*1440,0)))/1440))</f>
        <v/>
      </c>
      <c r="X189" s="16" t="n"/>
      <c r="Y189" s="14">
        <f>IF(W189="","",IF(X189="",IF(NOW()&gt;W189,"En retard","En attente"),IF(X189&lt;=W189,"À temps","En retard")))</f>
        <v/>
      </c>
      <c r="Z189" s="17" t="n"/>
      <c r="AA189" s="14">
        <f>IF($B189="","",IF(OR(T189="X",AD189&lt;&gt;""),0,MAX(0,MIN(Q189,'Critères et poids'!$C$38*INT((TODAY()-IF(Z189&lt;&gt;"",Z189,INT($A189)))/7)))))</f>
        <v/>
      </c>
      <c r="AB189" s="14">
        <f>IF($B189="","",MAX(0,S189-AA189))</f>
        <v/>
      </c>
      <c r="AC189" s="9">
        <f>IF($B189="","",IF(T189="X","X",IF(AB189&gt;='Critères et poids'!$C$29,"A",IF(AB189&gt;='Critères et poids'!$C$30,"B","C"))))</f>
        <v/>
      </c>
      <c r="AD189" s="4" t="n"/>
      <c r="AE189" s="18" t="n"/>
      <c r="AF189" s="6" t="n"/>
      <c r="AH189">
        <f>IF($A189="","",IF(OR(WEEKDAY($A189,2)&gt;5,ROUND(MOD($A189,1)*1440,0)&gt;=ROUND('Critères et poids'!$C$37*1440,0)),WORKDAY(INT($A189),1)+ROUND('Critères et poids'!$C$36*1440,0)/1440,IF(ROUND(MOD($A189,1)*1440,0)&lt;ROUND('Critères et poids'!$C$36*1440,0),INT($A189)+ROUND('Critères et poids'!$C$36*1440,0)/1440,$A189)))</f>
        <v/>
      </c>
      <c r="AI189">
        <f>IF(AH189="","",ROUND(MOD(AH189,1)*1440,0))</f>
        <v/>
      </c>
      <c r="AJ189">
        <f>IF(T189="","",INDEX('Critères et poids'!$E$29:$E$32,MATCH(T189,'Critères et poids'!$A$29:$A$32,0)))</f>
        <v/>
      </c>
    </row>
    <row r="190">
      <c r="A190" s="13" t="n"/>
      <c r="B190" s="6" t="n"/>
      <c r="C190" s="6" t="n"/>
      <c r="D190" s="4" t="n"/>
      <c r="E190" s="4" t="n"/>
      <c r="F190" s="4" t="n"/>
      <c r="G190" s="4" t="n"/>
      <c r="H190" s="4" t="n"/>
      <c r="I190" s="4" t="n"/>
      <c r="J190" s="4" t="n"/>
      <c r="K190" s="4" t="n"/>
      <c r="L190" s="4" t="n"/>
      <c r="M190" s="4" t="n"/>
      <c r="N190" s="6" t="n"/>
      <c r="O190" s="6" t="n"/>
      <c r="P190" s="14">
        <f>IF($B190="","",(E190="Clair")*'Critères et poids'!$G$5+(E190="Partiel")*'Critères et poids'!$G$5/2+(F190="Clair")*'Critères et poids'!$G$6+(F190="Partiel")*'Critères et poids'!$G$6/2+(G190="Clair")*'Critères et poids'!$G$7+(G190="Partiel")*'Critères et poids'!$G$7/2+(H190="Clair")*'Critères et poids'!$G$8+(H190="Partiel")*'Critères et poids'!$G$8/2)</f>
        <v/>
      </c>
      <c r="Q190" s="14">
        <f>IF($B190="","",(I190="Clair")*'Critères et poids'!$G$9+(I190="Partiel")*'Critères et poids'!$G$9/2+(J190="Clair")*'Critères et poids'!$G$10+(J190="Partiel")*'Critères et poids'!$G$10/2+(K190="Clair")*'Critères et poids'!$G$11+(K190="Partiel")*'Critères et poids'!$G$11/2+(L190="Clair")*'Critères et poids'!$G$12+(L190="Partiel")*'Critères et poids'!$G$12/2+(M190="Clair")*'Critères et poids'!$G$13+(M190="Partiel")*'Critères et poids'!$G$13/2)</f>
        <v/>
      </c>
      <c r="R190" s="14">
        <f>IF($B190="","",IFERROR(VLOOKUP(N190,'Critères et poids'!$B$17:$C$20,2,FALSE),0))</f>
        <v/>
      </c>
      <c r="S190" s="9">
        <f>IF($B190="","",MAX(0,P190+Q190+R190))</f>
        <v/>
      </c>
      <c r="T190" s="9">
        <f>IF($B190="","",IF(O190&lt;&gt;"","X",IF(S190&gt;='Critères et poids'!$C$29,"A",IF(S190&gt;='Critères et poids'!$C$30,"B","C"))))</f>
        <v/>
      </c>
      <c r="U190" s="14">
        <f>IF(T190="","",INDEX('Critères et poids'!$D$29:$D$32,MATCH(T190,'Critères et poids'!$A$29:$A$32,0)))</f>
        <v/>
      </c>
      <c r="V190" s="14">
        <f>IF(T190="","",INDEX('Critères et poids'!$F$29:$F$32,MATCH(T190,'Critères et poids'!$A$29:$A$32,0)))</f>
        <v/>
      </c>
      <c r="W190" s="15">
        <f>IF(OR(AH190="",AJ190=""),"",IF(AI190+AJ190*60&lt;=ROUND('Critères et poids'!$C$37*1440,0),INT(AH190)+(AI190+AJ190*60)/1440,WORKDAY(INT(AH190),1+INT((AI190+AJ190*60-ROUND('Critères et poids'!$C$37*1440,0)-1)/(ROUND('Critères et poids'!$C$37*1440,0)-ROUND('Critères et poids'!$C$36*1440,0))))+(ROUND('Critères et poids'!$C$36*1440,0)+AI190+AJ190*60-ROUND('Critères et poids'!$C$37*1440,0)-INT((AI190+AJ190*60-ROUND('Critères et poids'!$C$37*1440,0)-1)/(ROUND('Critères et poids'!$C$37*1440,0)-ROUND('Critères et poids'!$C$36*1440,0)))*(ROUND('Critères et poids'!$C$37*1440,0)-ROUND('Critères et poids'!$C$36*1440,0)))/1440))</f>
        <v/>
      </c>
      <c r="X190" s="16" t="n"/>
      <c r="Y190" s="14">
        <f>IF(W190="","",IF(X190="",IF(NOW()&gt;W190,"En retard","En attente"),IF(X190&lt;=W190,"À temps","En retard")))</f>
        <v/>
      </c>
      <c r="Z190" s="17" t="n"/>
      <c r="AA190" s="14">
        <f>IF($B190="","",IF(OR(T190="X",AD190&lt;&gt;""),0,MAX(0,MIN(Q190,'Critères et poids'!$C$38*INT((TODAY()-IF(Z190&lt;&gt;"",Z190,INT($A190)))/7)))))</f>
        <v/>
      </c>
      <c r="AB190" s="14">
        <f>IF($B190="","",MAX(0,S190-AA190))</f>
        <v/>
      </c>
      <c r="AC190" s="9">
        <f>IF($B190="","",IF(T190="X","X",IF(AB190&gt;='Critères et poids'!$C$29,"A",IF(AB190&gt;='Critères et poids'!$C$30,"B","C"))))</f>
        <v/>
      </c>
      <c r="AD190" s="4" t="n"/>
      <c r="AE190" s="18" t="n"/>
      <c r="AF190" s="6" t="n"/>
      <c r="AH190">
        <f>IF($A190="","",IF(OR(WEEKDAY($A190,2)&gt;5,ROUND(MOD($A190,1)*1440,0)&gt;=ROUND('Critères et poids'!$C$37*1440,0)),WORKDAY(INT($A190),1)+ROUND('Critères et poids'!$C$36*1440,0)/1440,IF(ROUND(MOD($A190,1)*1440,0)&lt;ROUND('Critères et poids'!$C$36*1440,0),INT($A190)+ROUND('Critères et poids'!$C$36*1440,0)/1440,$A190)))</f>
        <v/>
      </c>
      <c r="AI190">
        <f>IF(AH190="","",ROUND(MOD(AH190,1)*1440,0))</f>
        <v/>
      </c>
      <c r="AJ190">
        <f>IF(T190="","",INDEX('Critères et poids'!$E$29:$E$32,MATCH(T190,'Critères et poids'!$A$29:$A$32,0)))</f>
        <v/>
      </c>
    </row>
    <row r="191">
      <c r="A191" s="13" t="n"/>
      <c r="B191" s="6" t="n"/>
      <c r="C191" s="6" t="n"/>
      <c r="D191" s="4" t="n"/>
      <c r="E191" s="4" t="n"/>
      <c r="F191" s="4" t="n"/>
      <c r="G191" s="4" t="n"/>
      <c r="H191" s="4" t="n"/>
      <c r="I191" s="4" t="n"/>
      <c r="J191" s="4" t="n"/>
      <c r="K191" s="4" t="n"/>
      <c r="L191" s="4" t="n"/>
      <c r="M191" s="4" t="n"/>
      <c r="N191" s="6" t="n"/>
      <c r="O191" s="6" t="n"/>
      <c r="P191" s="14">
        <f>IF($B191="","",(E191="Clair")*'Critères et poids'!$G$5+(E191="Partiel")*'Critères et poids'!$G$5/2+(F191="Clair")*'Critères et poids'!$G$6+(F191="Partiel")*'Critères et poids'!$G$6/2+(G191="Clair")*'Critères et poids'!$G$7+(G191="Partiel")*'Critères et poids'!$G$7/2+(H191="Clair")*'Critères et poids'!$G$8+(H191="Partiel")*'Critères et poids'!$G$8/2)</f>
        <v/>
      </c>
      <c r="Q191" s="14">
        <f>IF($B191="","",(I191="Clair")*'Critères et poids'!$G$9+(I191="Partiel")*'Critères et poids'!$G$9/2+(J191="Clair")*'Critères et poids'!$G$10+(J191="Partiel")*'Critères et poids'!$G$10/2+(K191="Clair")*'Critères et poids'!$G$11+(K191="Partiel")*'Critères et poids'!$G$11/2+(L191="Clair")*'Critères et poids'!$G$12+(L191="Partiel")*'Critères et poids'!$G$12/2+(M191="Clair")*'Critères et poids'!$G$13+(M191="Partiel")*'Critères et poids'!$G$13/2)</f>
        <v/>
      </c>
      <c r="R191" s="14">
        <f>IF($B191="","",IFERROR(VLOOKUP(N191,'Critères et poids'!$B$17:$C$20,2,FALSE),0))</f>
        <v/>
      </c>
      <c r="S191" s="9">
        <f>IF($B191="","",MAX(0,P191+Q191+R191))</f>
        <v/>
      </c>
      <c r="T191" s="9">
        <f>IF($B191="","",IF(O191&lt;&gt;"","X",IF(S191&gt;='Critères et poids'!$C$29,"A",IF(S191&gt;='Critères et poids'!$C$30,"B","C"))))</f>
        <v/>
      </c>
      <c r="U191" s="14">
        <f>IF(T191="","",INDEX('Critères et poids'!$D$29:$D$32,MATCH(T191,'Critères et poids'!$A$29:$A$32,0)))</f>
        <v/>
      </c>
      <c r="V191" s="14">
        <f>IF(T191="","",INDEX('Critères et poids'!$F$29:$F$32,MATCH(T191,'Critères et poids'!$A$29:$A$32,0)))</f>
        <v/>
      </c>
      <c r="W191" s="15">
        <f>IF(OR(AH191="",AJ191=""),"",IF(AI191+AJ191*60&lt;=ROUND('Critères et poids'!$C$37*1440,0),INT(AH191)+(AI191+AJ191*60)/1440,WORKDAY(INT(AH191),1+INT((AI191+AJ191*60-ROUND('Critères et poids'!$C$37*1440,0)-1)/(ROUND('Critères et poids'!$C$37*1440,0)-ROUND('Critères et poids'!$C$36*1440,0))))+(ROUND('Critères et poids'!$C$36*1440,0)+AI191+AJ191*60-ROUND('Critères et poids'!$C$37*1440,0)-INT((AI191+AJ191*60-ROUND('Critères et poids'!$C$37*1440,0)-1)/(ROUND('Critères et poids'!$C$37*1440,0)-ROUND('Critères et poids'!$C$36*1440,0)))*(ROUND('Critères et poids'!$C$37*1440,0)-ROUND('Critères et poids'!$C$36*1440,0)))/1440))</f>
        <v/>
      </c>
      <c r="X191" s="16" t="n"/>
      <c r="Y191" s="14">
        <f>IF(W191="","",IF(X191="",IF(NOW()&gt;W191,"En retard","En attente"),IF(X191&lt;=W191,"À temps","En retard")))</f>
        <v/>
      </c>
      <c r="Z191" s="17" t="n"/>
      <c r="AA191" s="14">
        <f>IF($B191="","",IF(OR(T191="X",AD191&lt;&gt;""),0,MAX(0,MIN(Q191,'Critères et poids'!$C$38*INT((TODAY()-IF(Z191&lt;&gt;"",Z191,INT($A191)))/7)))))</f>
        <v/>
      </c>
      <c r="AB191" s="14">
        <f>IF($B191="","",MAX(0,S191-AA191))</f>
        <v/>
      </c>
      <c r="AC191" s="9">
        <f>IF($B191="","",IF(T191="X","X",IF(AB191&gt;='Critères et poids'!$C$29,"A",IF(AB191&gt;='Critères et poids'!$C$30,"B","C"))))</f>
        <v/>
      </c>
      <c r="AD191" s="4" t="n"/>
      <c r="AE191" s="18" t="n"/>
      <c r="AF191" s="6" t="n"/>
      <c r="AH191">
        <f>IF($A191="","",IF(OR(WEEKDAY($A191,2)&gt;5,ROUND(MOD($A191,1)*1440,0)&gt;=ROUND('Critères et poids'!$C$37*1440,0)),WORKDAY(INT($A191),1)+ROUND('Critères et poids'!$C$36*1440,0)/1440,IF(ROUND(MOD($A191,1)*1440,0)&lt;ROUND('Critères et poids'!$C$36*1440,0),INT($A191)+ROUND('Critères et poids'!$C$36*1440,0)/1440,$A191)))</f>
        <v/>
      </c>
      <c r="AI191">
        <f>IF(AH191="","",ROUND(MOD(AH191,1)*1440,0))</f>
        <v/>
      </c>
      <c r="AJ191">
        <f>IF(T191="","",INDEX('Critères et poids'!$E$29:$E$32,MATCH(T191,'Critères et poids'!$A$29:$A$32,0)))</f>
        <v/>
      </c>
    </row>
    <row r="192">
      <c r="A192" s="13" t="n"/>
      <c r="B192" s="6" t="n"/>
      <c r="C192" s="6" t="n"/>
      <c r="D192" s="4" t="n"/>
      <c r="E192" s="4" t="n"/>
      <c r="F192" s="4" t="n"/>
      <c r="G192" s="4" t="n"/>
      <c r="H192" s="4" t="n"/>
      <c r="I192" s="4" t="n"/>
      <c r="J192" s="4" t="n"/>
      <c r="K192" s="4" t="n"/>
      <c r="L192" s="4" t="n"/>
      <c r="M192" s="4" t="n"/>
      <c r="N192" s="6" t="n"/>
      <c r="O192" s="6" t="n"/>
      <c r="P192" s="14">
        <f>IF($B192="","",(E192="Clair")*'Critères et poids'!$G$5+(E192="Partiel")*'Critères et poids'!$G$5/2+(F192="Clair")*'Critères et poids'!$G$6+(F192="Partiel")*'Critères et poids'!$G$6/2+(G192="Clair")*'Critères et poids'!$G$7+(G192="Partiel")*'Critères et poids'!$G$7/2+(H192="Clair")*'Critères et poids'!$G$8+(H192="Partiel")*'Critères et poids'!$G$8/2)</f>
        <v/>
      </c>
      <c r="Q192" s="14">
        <f>IF($B192="","",(I192="Clair")*'Critères et poids'!$G$9+(I192="Partiel")*'Critères et poids'!$G$9/2+(J192="Clair")*'Critères et poids'!$G$10+(J192="Partiel")*'Critères et poids'!$G$10/2+(K192="Clair")*'Critères et poids'!$G$11+(K192="Partiel")*'Critères et poids'!$G$11/2+(L192="Clair")*'Critères et poids'!$G$12+(L192="Partiel")*'Critères et poids'!$G$12/2+(M192="Clair")*'Critères et poids'!$G$13+(M192="Partiel")*'Critères et poids'!$G$13/2)</f>
        <v/>
      </c>
      <c r="R192" s="14">
        <f>IF($B192="","",IFERROR(VLOOKUP(N192,'Critères et poids'!$B$17:$C$20,2,FALSE),0))</f>
        <v/>
      </c>
      <c r="S192" s="9">
        <f>IF($B192="","",MAX(0,P192+Q192+R192))</f>
        <v/>
      </c>
      <c r="T192" s="9">
        <f>IF($B192="","",IF(O192&lt;&gt;"","X",IF(S192&gt;='Critères et poids'!$C$29,"A",IF(S192&gt;='Critères et poids'!$C$30,"B","C"))))</f>
        <v/>
      </c>
      <c r="U192" s="14">
        <f>IF(T192="","",INDEX('Critères et poids'!$D$29:$D$32,MATCH(T192,'Critères et poids'!$A$29:$A$32,0)))</f>
        <v/>
      </c>
      <c r="V192" s="14">
        <f>IF(T192="","",INDEX('Critères et poids'!$F$29:$F$32,MATCH(T192,'Critères et poids'!$A$29:$A$32,0)))</f>
        <v/>
      </c>
      <c r="W192" s="15">
        <f>IF(OR(AH192="",AJ192=""),"",IF(AI192+AJ192*60&lt;=ROUND('Critères et poids'!$C$37*1440,0),INT(AH192)+(AI192+AJ192*60)/1440,WORKDAY(INT(AH192),1+INT((AI192+AJ192*60-ROUND('Critères et poids'!$C$37*1440,0)-1)/(ROUND('Critères et poids'!$C$37*1440,0)-ROUND('Critères et poids'!$C$36*1440,0))))+(ROUND('Critères et poids'!$C$36*1440,0)+AI192+AJ192*60-ROUND('Critères et poids'!$C$37*1440,0)-INT((AI192+AJ192*60-ROUND('Critères et poids'!$C$37*1440,0)-1)/(ROUND('Critères et poids'!$C$37*1440,0)-ROUND('Critères et poids'!$C$36*1440,0)))*(ROUND('Critères et poids'!$C$37*1440,0)-ROUND('Critères et poids'!$C$36*1440,0)))/1440))</f>
        <v/>
      </c>
      <c r="X192" s="16" t="n"/>
      <c r="Y192" s="14">
        <f>IF(W192="","",IF(X192="",IF(NOW()&gt;W192,"En retard","En attente"),IF(X192&lt;=W192,"À temps","En retard")))</f>
        <v/>
      </c>
      <c r="Z192" s="17" t="n"/>
      <c r="AA192" s="14">
        <f>IF($B192="","",IF(OR(T192="X",AD192&lt;&gt;""),0,MAX(0,MIN(Q192,'Critères et poids'!$C$38*INT((TODAY()-IF(Z192&lt;&gt;"",Z192,INT($A192)))/7)))))</f>
        <v/>
      </c>
      <c r="AB192" s="14">
        <f>IF($B192="","",MAX(0,S192-AA192))</f>
        <v/>
      </c>
      <c r="AC192" s="9">
        <f>IF($B192="","",IF(T192="X","X",IF(AB192&gt;='Critères et poids'!$C$29,"A",IF(AB192&gt;='Critères et poids'!$C$30,"B","C"))))</f>
        <v/>
      </c>
      <c r="AD192" s="4" t="n"/>
      <c r="AE192" s="18" t="n"/>
      <c r="AF192" s="6" t="n"/>
      <c r="AH192">
        <f>IF($A192="","",IF(OR(WEEKDAY($A192,2)&gt;5,ROUND(MOD($A192,1)*1440,0)&gt;=ROUND('Critères et poids'!$C$37*1440,0)),WORKDAY(INT($A192),1)+ROUND('Critères et poids'!$C$36*1440,0)/1440,IF(ROUND(MOD($A192,1)*1440,0)&lt;ROUND('Critères et poids'!$C$36*1440,0),INT($A192)+ROUND('Critères et poids'!$C$36*1440,0)/1440,$A192)))</f>
        <v/>
      </c>
      <c r="AI192">
        <f>IF(AH192="","",ROUND(MOD(AH192,1)*1440,0))</f>
        <v/>
      </c>
      <c r="AJ192">
        <f>IF(T192="","",INDEX('Critères et poids'!$E$29:$E$32,MATCH(T192,'Critères et poids'!$A$29:$A$32,0)))</f>
        <v/>
      </c>
    </row>
    <row r="193">
      <c r="A193" s="13" t="n"/>
      <c r="B193" s="6" t="n"/>
      <c r="C193" s="6" t="n"/>
      <c r="D193" s="4" t="n"/>
      <c r="E193" s="4" t="n"/>
      <c r="F193" s="4" t="n"/>
      <c r="G193" s="4" t="n"/>
      <c r="H193" s="4" t="n"/>
      <c r="I193" s="4" t="n"/>
      <c r="J193" s="4" t="n"/>
      <c r="K193" s="4" t="n"/>
      <c r="L193" s="4" t="n"/>
      <c r="M193" s="4" t="n"/>
      <c r="N193" s="6" t="n"/>
      <c r="O193" s="6" t="n"/>
      <c r="P193" s="14">
        <f>IF($B193="","",(E193="Clair")*'Critères et poids'!$G$5+(E193="Partiel")*'Critères et poids'!$G$5/2+(F193="Clair")*'Critères et poids'!$G$6+(F193="Partiel")*'Critères et poids'!$G$6/2+(G193="Clair")*'Critères et poids'!$G$7+(G193="Partiel")*'Critères et poids'!$G$7/2+(H193="Clair")*'Critères et poids'!$G$8+(H193="Partiel")*'Critères et poids'!$G$8/2)</f>
        <v/>
      </c>
      <c r="Q193" s="14">
        <f>IF($B193="","",(I193="Clair")*'Critères et poids'!$G$9+(I193="Partiel")*'Critères et poids'!$G$9/2+(J193="Clair")*'Critères et poids'!$G$10+(J193="Partiel")*'Critères et poids'!$G$10/2+(K193="Clair")*'Critères et poids'!$G$11+(K193="Partiel")*'Critères et poids'!$G$11/2+(L193="Clair")*'Critères et poids'!$G$12+(L193="Partiel")*'Critères et poids'!$G$12/2+(M193="Clair")*'Critères et poids'!$G$13+(M193="Partiel")*'Critères et poids'!$G$13/2)</f>
        <v/>
      </c>
      <c r="R193" s="14">
        <f>IF($B193="","",IFERROR(VLOOKUP(N193,'Critères et poids'!$B$17:$C$20,2,FALSE),0))</f>
        <v/>
      </c>
      <c r="S193" s="9">
        <f>IF($B193="","",MAX(0,P193+Q193+R193))</f>
        <v/>
      </c>
      <c r="T193" s="9">
        <f>IF($B193="","",IF(O193&lt;&gt;"","X",IF(S193&gt;='Critères et poids'!$C$29,"A",IF(S193&gt;='Critères et poids'!$C$30,"B","C"))))</f>
        <v/>
      </c>
      <c r="U193" s="14">
        <f>IF(T193="","",INDEX('Critères et poids'!$D$29:$D$32,MATCH(T193,'Critères et poids'!$A$29:$A$32,0)))</f>
        <v/>
      </c>
      <c r="V193" s="14">
        <f>IF(T193="","",INDEX('Critères et poids'!$F$29:$F$32,MATCH(T193,'Critères et poids'!$A$29:$A$32,0)))</f>
        <v/>
      </c>
      <c r="W193" s="15">
        <f>IF(OR(AH193="",AJ193=""),"",IF(AI193+AJ193*60&lt;=ROUND('Critères et poids'!$C$37*1440,0),INT(AH193)+(AI193+AJ193*60)/1440,WORKDAY(INT(AH193),1+INT((AI193+AJ193*60-ROUND('Critères et poids'!$C$37*1440,0)-1)/(ROUND('Critères et poids'!$C$37*1440,0)-ROUND('Critères et poids'!$C$36*1440,0))))+(ROUND('Critères et poids'!$C$36*1440,0)+AI193+AJ193*60-ROUND('Critères et poids'!$C$37*1440,0)-INT((AI193+AJ193*60-ROUND('Critères et poids'!$C$37*1440,0)-1)/(ROUND('Critères et poids'!$C$37*1440,0)-ROUND('Critères et poids'!$C$36*1440,0)))*(ROUND('Critères et poids'!$C$37*1440,0)-ROUND('Critères et poids'!$C$36*1440,0)))/1440))</f>
        <v/>
      </c>
      <c r="X193" s="16" t="n"/>
      <c r="Y193" s="14">
        <f>IF(W193="","",IF(X193="",IF(NOW()&gt;W193,"En retard","En attente"),IF(X193&lt;=W193,"À temps","En retard")))</f>
        <v/>
      </c>
      <c r="Z193" s="17" t="n"/>
      <c r="AA193" s="14">
        <f>IF($B193="","",IF(OR(T193="X",AD193&lt;&gt;""),0,MAX(0,MIN(Q193,'Critères et poids'!$C$38*INT((TODAY()-IF(Z193&lt;&gt;"",Z193,INT($A193)))/7)))))</f>
        <v/>
      </c>
      <c r="AB193" s="14">
        <f>IF($B193="","",MAX(0,S193-AA193))</f>
        <v/>
      </c>
      <c r="AC193" s="9">
        <f>IF($B193="","",IF(T193="X","X",IF(AB193&gt;='Critères et poids'!$C$29,"A",IF(AB193&gt;='Critères et poids'!$C$30,"B","C"))))</f>
        <v/>
      </c>
      <c r="AD193" s="4" t="n"/>
      <c r="AE193" s="18" t="n"/>
      <c r="AF193" s="6" t="n"/>
      <c r="AH193">
        <f>IF($A193="","",IF(OR(WEEKDAY($A193,2)&gt;5,ROUND(MOD($A193,1)*1440,0)&gt;=ROUND('Critères et poids'!$C$37*1440,0)),WORKDAY(INT($A193),1)+ROUND('Critères et poids'!$C$36*1440,0)/1440,IF(ROUND(MOD($A193,1)*1440,0)&lt;ROUND('Critères et poids'!$C$36*1440,0),INT($A193)+ROUND('Critères et poids'!$C$36*1440,0)/1440,$A193)))</f>
        <v/>
      </c>
      <c r="AI193">
        <f>IF(AH193="","",ROUND(MOD(AH193,1)*1440,0))</f>
        <v/>
      </c>
      <c r="AJ193">
        <f>IF(T193="","",INDEX('Critères et poids'!$E$29:$E$32,MATCH(T193,'Critères et poids'!$A$29:$A$32,0)))</f>
        <v/>
      </c>
    </row>
    <row r="194">
      <c r="A194" s="13" t="n"/>
      <c r="B194" s="6" t="n"/>
      <c r="C194" s="6" t="n"/>
      <c r="D194" s="4" t="n"/>
      <c r="E194" s="4" t="n"/>
      <c r="F194" s="4" t="n"/>
      <c r="G194" s="4" t="n"/>
      <c r="H194" s="4" t="n"/>
      <c r="I194" s="4" t="n"/>
      <c r="J194" s="4" t="n"/>
      <c r="K194" s="4" t="n"/>
      <c r="L194" s="4" t="n"/>
      <c r="M194" s="4" t="n"/>
      <c r="N194" s="6" t="n"/>
      <c r="O194" s="6" t="n"/>
      <c r="P194" s="14">
        <f>IF($B194="","",(E194="Clair")*'Critères et poids'!$G$5+(E194="Partiel")*'Critères et poids'!$G$5/2+(F194="Clair")*'Critères et poids'!$G$6+(F194="Partiel")*'Critères et poids'!$G$6/2+(G194="Clair")*'Critères et poids'!$G$7+(G194="Partiel")*'Critères et poids'!$G$7/2+(H194="Clair")*'Critères et poids'!$G$8+(H194="Partiel")*'Critères et poids'!$G$8/2)</f>
        <v/>
      </c>
      <c r="Q194" s="14">
        <f>IF($B194="","",(I194="Clair")*'Critères et poids'!$G$9+(I194="Partiel")*'Critères et poids'!$G$9/2+(J194="Clair")*'Critères et poids'!$G$10+(J194="Partiel")*'Critères et poids'!$G$10/2+(K194="Clair")*'Critères et poids'!$G$11+(K194="Partiel")*'Critères et poids'!$G$11/2+(L194="Clair")*'Critères et poids'!$G$12+(L194="Partiel")*'Critères et poids'!$G$12/2+(M194="Clair")*'Critères et poids'!$G$13+(M194="Partiel")*'Critères et poids'!$G$13/2)</f>
        <v/>
      </c>
      <c r="R194" s="14">
        <f>IF($B194="","",IFERROR(VLOOKUP(N194,'Critères et poids'!$B$17:$C$20,2,FALSE),0))</f>
        <v/>
      </c>
      <c r="S194" s="9">
        <f>IF($B194="","",MAX(0,P194+Q194+R194))</f>
        <v/>
      </c>
      <c r="T194" s="9">
        <f>IF($B194="","",IF(O194&lt;&gt;"","X",IF(S194&gt;='Critères et poids'!$C$29,"A",IF(S194&gt;='Critères et poids'!$C$30,"B","C"))))</f>
        <v/>
      </c>
      <c r="U194" s="14">
        <f>IF(T194="","",INDEX('Critères et poids'!$D$29:$D$32,MATCH(T194,'Critères et poids'!$A$29:$A$32,0)))</f>
        <v/>
      </c>
      <c r="V194" s="14">
        <f>IF(T194="","",INDEX('Critères et poids'!$F$29:$F$32,MATCH(T194,'Critères et poids'!$A$29:$A$32,0)))</f>
        <v/>
      </c>
      <c r="W194" s="15">
        <f>IF(OR(AH194="",AJ194=""),"",IF(AI194+AJ194*60&lt;=ROUND('Critères et poids'!$C$37*1440,0),INT(AH194)+(AI194+AJ194*60)/1440,WORKDAY(INT(AH194),1+INT((AI194+AJ194*60-ROUND('Critères et poids'!$C$37*1440,0)-1)/(ROUND('Critères et poids'!$C$37*1440,0)-ROUND('Critères et poids'!$C$36*1440,0))))+(ROUND('Critères et poids'!$C$36*1440,0)+AI194+AJ194*60-ROUND('Critères et poids'!$C$37*1440,0)-INT((AI194+AJ194*60-ROUND('Critères et poids'!$C$37*1440,0)-1)/(ROUND('Critères et poids'!$C$37*1440,0)-ROUND('Critères et poids'!$C$36*1440,0)))*(ROUND('Critères et poids'!$C$37*1440,0)-ROUND('Critères et poids'!$C$36*1440,0)))/1440))</f>
        <v/>
      </c>
      <c r="X194" s="16" t="n"/>
      <c r="Y194" s="14">
        <f>IF(W194="","",IF(X194="",IF(NOW()&gt;W194,"En retard","En attente"),IF(X194&lt;=W194,"À temps","En retard")))</f>
        <v/>
      </c>
      <c r="Z194" s="17" t="n"/>
      <c r="AA194" s="14">
        <f>IF($B194="","",IF(OR(T194="X",AD194&lt;&gt;""),0,MAX(0,MIN(Q194,'Critères et poids'!$C$38*INT((TODAY()-IF(Z194&lt;&gt;"",Z194,INT($A194)))/7)))))</f>
        <v/>
      </c>
      <c r="AB194" s="14">
        <f>IF($B194="","",MAX(0,S194-AA194))</f>
        <v/>
      </c>
      <c r="AC194" s="9">
        <f>IF($B194="","",IF(T194="X","X",IF(AB194&gt;='Critères et poids'!$C$29,"A",IF(AB194&gt;='Critères et poids'!$C$30,"B","C"))))</f>
        <v/>
      </c>
      <c r="AD194" s="4" t="n"/>
      <c r="AE194" s="18" t="n"/>
      <c r="AF194" s="6" t="n"/>
      <c r="AH194">
        <f>IF($A194="","",IF(OR(WEEKDAY($A194,2)&gt;5,ROUND(MOD($A194,1)*1440,0)&gt;=ROUND('Critères et poids'!$C$37*1440,0)),WORKDAY(INT($A194),1)+ROUND('Critères et poids'!$C$36*1440,0)/1440,IF(ROUND(MOD($A194,1)*1440,0)&lt;ROUND('Critères et poids'!$C$36*1440,0),INT($A194)+ROUND('Critères et poids'!$C$36*1440,0)/1440,$A194)))</f>
        <v/>
      </c>
      <c r="AI194">
        <f>IF(AH194="","",ROUND(MOD(AH194,1)*1440,0))</f>
        <v/>
      </c>
      <c r="AJ194">
        <f>IF(T194="","",INDEX('Critères et poids'!$E$29:$E$32,MATCH(T194,'Critères et poids'!$A$29:$A$32,0)))</f>
        <v/>
      </c>
    </row>
    <row r="195">
      <c r="A195" s="13" t="n"/>
      <c r="B195" s="6" t="n"/>
      <c r="C195" s="6" t="n"/>
      <c r="D195" s="4" t="n"/>
      <c r="E195" s="4" t="n"/>
      <c r="F195" s="4" t="n"/>
      <c r="G195" s="4" t="n"/>
      <c r="H195" s="4" t="n"/>
      <c r="I195" s="4" t="n"/>
      <c r="J195" s="4" t="n"/>
      <c r="K195" s="4" t="n"/>
      <c r="L195" s="4" t="n"/>
      <c r="M195" s="4" t="n"/>
      <c r="N195" s="6" t="n"/>
      <c r="O195" s="6" t="n"/>
      <c r="P195" s="14">
        <f>IF($B195="","",(E195="Clair")*'Critères et poids'!$G$5+(E195="Partiel")*'Critères et poids'!$G$5/2+(F195="Clair")*'Critères et poids'!$G$6+(F195="Partiel")*'Critères et poids'!$G$6/2+(G195="Clair")*'Critères et poids'!$G$7+(G195="Partiel")*'Critères et poids'!$G$7/2+(H195="Clair")*'Critères et poids'!$G$8+(H195="Partiel")*'Critères et poids'!$G$8/2)</f>
        <v/>
      </c>
      <c r="Q195" s="14">
        <f>IF($B195="","",(I195="Clair")*'Critères et poids'!$G$9+(I195="Partiel")*'Critères et poids'!$G$9/2+(J195="Clair")*'Critères et poids'!$G$10+(J195="Partiel")*'Critères et poids'!$G$10/2+(K195="Clair")*'Critères et poids'!$G$11+(K195="Partiel")*'Critères et poids'!$G$11/2+(L195="Clair")*'Critères et poids'!$G$12+(L195="Partiel")*'Critères et poids'!$G$12/2+(M195="Clair")*'Critères et poids'!$G$13+(M195="Partiel")*'Critères et poids'!$G$13/2)</f>
        <v/>
      </c>
      <c r="R195" s="14">
        <f>IF($B195="","",IFERROR(VLOOKUP(N195,'Critères et poids'!$B$17:$C$20,2,FALSE),0))</f>
        <v/>
      </c>
      <c r="S195" s="9">
        <f>IF($B195="","",MAX(0,P195+Q195+R195))</f>
        <v/>
      </c>
      <c r="T195" s="9">
        <f>IF($B195="","",IF(O195&lt;&gt;"","X",IF(S195&gt;='Critères et poids'!$C$29,"A",IF(S195&gt;='Critères et poids'!$C$30,"B","C"))))</f>
        <v/>
      </c>
      <c r="U195" s="14">
        <f>IF(T195="","",INDEX('Critères et poids'!$D$29:$D$32,MATCH(T195,'Critères et poids'!$A$29:$A$32,0)))</f>
        <v/>
      </c>
      <c r="V195" s="14">
        <f>IF(T195="","",INDEX('Critères et poids'!$F$29:$F$32,MATCH(T195,'Critères et poids'!$A$29:$A$32,0)))</f>
        <v/>
      </c>
      <c r="W195" s="15">
        <f>IF(OR(AH195="",AJ195=""),"",IF(AI195+AJ195*60&lt;=ROUND('Critères et poids'!$C$37*1440,0),INT(AH195)+(AI195+AJ195*60)/1440,WORKDAY(INT(AH195),1+INT((AI195+AJ195*60-ROUND('Critères et poids'!$C$37*1440,0)-1)/(ROUND('Critères et poids'!$C$37*1440,0)-ROUND('Critères et poids'!$C$36*1440,0))))+(ROUND('Critères et poids'!$C$36*1440,0)+AI195+AJ195*60-ROUND('Critères et poids'!$C$37*1440,0)-INT((AI195+AJ195*60-ROUND('Critères et poids'!$C$37*1440,0)-1)/(ROUND('Critères et poids'!$C$37*1440,0)-ROUND('Critères et poids'!$C$36*1440,0)))*(ROUND('Critères et poids'!$C$37*1440,0)-ROUND('Critères et poids'!$C$36*1440,0)))/1440))</f>
        <v/>
      </c>
      <c r="X195" s="16" t="n"/>
      <c r="Y195" s="14">
        <f>IF(W195="","",IF(X195="",IF(NOW()&gt;W195,"En retard","En attente"),IF(X195&lt;=W195,"À temps","En retard")))</f>
        <v/>
      </c>
      <c r="Z195" s="17" t="n"/>
      <c r="AA195" s="14">
        <f>IF($B195="","",IF(OR(T195="X",AD195&lt;&gt;""),0,MAX(0,MIN(Q195,'Critères et poids'!$C$38*INT((TODAY()-IF(Z195&lt;&gt;"",Z195,INT($A195)))/7)))))</f>
        <v/>
      </c>
      <c r="AB195" s="14">
        <f>IF($B195="","",MAX(0,S195-AA195))</f>
        <v/>
      </c>
      <c r="AC195" s="9">
        <f>IF($B195="","",IF(T195="X","X",IF(AB195&gt;='Critères et poids'!$C$29,"A",IF(AB195&gt;='Critères et poids'!$C$30,"B","C"))))</f>
        <v/>
      </c>
      <c r="AD195" s="4" t="n"/>
      <c r="AE195" s="18" t="n"/>
      <c r="AF195" s="6" t="n"/>
      <c r="AH195">
        <f>IF($A195="","",IF(OR(WEEKDAY($A195,2)&gt;5,ROUND(MOD($A195,1)*1440,0)&gt;=ROUND('Critères et poids'!$C$37*1440,0)),WORKDAY(INT($A195),1)+ROUND('Critères et poids'!$C$36*1440,0)/1440,IF(ROUND(MOD($A195,1)*1440,0)&lt;ROUND('Critères et poids'!$C$36*1440,0),INT($A195)+ROUND('Critères et poids'!$C$36*1440,0)/1440,$A195)))</f>
        <v/>
      </c>
      <c r="AI195">
        <f>IF(AH195="","",ROUND(MOD(AH195,1)*1440,0))</f>
        <v/>
      </c>
      <c r="AJ195">
        <f>IF(T195="","",INDEX('Critères et poids'!$E$29:$E$32,MATCH(T195,'Critères et poids'!$A$29:$A$32,0)))</f>
        <v/>
      </c>
    </row>
    <row r="196">
      <c r="A196" s="13" t="n"/>
      <c r="B196" s="6" t="n"/>
      <c r="C196" s="6" t="n"/>
      <c r="D196" s="4" t="n"/>
      <c r="E196" s="4" t="n"/>
      <c r="F196" s="4" t="n"/>
      <c r="G196" s="4" t="n"/>
      <c r="H196" s="4" t="n"/>
      <c r="I196" s="4" t="n"/>
      <c r="J196" s="4" t="n"/>
      <c r="K196" s="4" t="n"/>
      <c r="L196" s="4" t="n"/>
      <c r="M196" s="4" t="n"/>
      <c r="N196" s="6" t="n"/>
      <c r="O196" s="6" t="n"/>
      <c r="P196" s="14">
        <f>IF($B196="","",(E196="Clair")*'Critères et poids'!$G$5+(E196="Partiel")*'Critères et poids'!$G$5/2+(F196="Clair")*'Critères et poids'!$G$6+(F196="Partiel")*'Critères et poids'!$G$6/2+(G196="Clair")*'Critères et poids'!$G$7+(G196="Partiel")*'Critères et poids'!$G$7/2+(H196="Clair")*'Critères et poids'!$G$8+(H196="Partiel")*'Critères et poids'!$G$8/2)</f>
        <v/>
      </c>
      <c r="Q196" s="14">
        <f>IF($B196="","",(I196="Clair")*'Critères et poids'!$G$9+(I196="Partiel")*'Critères et poids'!$G$9/2+(J196="Clair")*'Critères et poids'!$G$10+(J196="Partiel")*'Critères et poids'!$G$10/2+(K196="Clair")*'Critères et poids'!$G$11+(K196="Partiel")*'Critères et poids'!$G$11/2+(L196="Clair")*'Critères et poids'!$G$12+(L196="Partiel")*'Critères et poids'!$G$12/2+(M196="Clair")*'Critères et poids'!$G$13+(M196="Partiel")*'Critères et poids'!$G$13/2)</f>
        <v/>
      </c>
      <c r="R196" s="14">
        <f>IF($B196="","",IFERROR(VLOOKUP(N196,'Critères et poids'!$B$17:$C$20,2,FALSE),0))</f>
        <v/>
      </c>
      <c r="S196" s="9">
        <f>IF($B196="","",MAX(0,P196+Q196+R196))</f>
        <v/>
      </c>
      <c r="T196" s="9">
        <f>IF($B196="","",IF(O196&lt;&gt;"","X",IF(S196&gt;='Critères et poids'!$C$29,"A",IF(S196&gt;='Critères et poids'!$C$30,"B","C"))))</f>
        <v/>
      </c>
      <c r="U196" s="14">
        <f>IF(T196="","",INDEX('Critères et poids'!$D$29:$D$32,MATCH(T196,'Critères et poids'!$A$29:$A$32,0)))</f>
        <v/>
      </c>
      <c r="V196" s="14">
        <f>IF(T196="","",INDEX('Critères et poids'!$F$29:$F$32,MATCH(T196,'Critères et poids'!$A$29:$A$32,0)))</f>
        <v/>
      </c>
      <c r="W196" s="15">
        <f>IF(OR(AH196="",AJ196=""),"",IF(AI196+AJ196*60&lt;=ROUND('Critères et poids'!$C$37*1440,0),INT(AH196)+(AI196+AJ196*60)/1440,WORKDAY(INT(AH196),1+INT((AI196+AJ196*60-ROUND('Critères et poids'!$C$37*1440,0)-1)/(ROUND('Critères et poids'!$C$37*1440,0)-ROUND('Critères et poids'!$C$36*1440,0))))+(ROUND('Critères et poids'!$C$36*1440,0)+AI196+AJ196*60-ROUND('Critères et poids'!$C$37*1440,0)-INT((AI196+AJ196*60-ROUND('Critères et poids'!$C$37*1440,0)-1)/(ROUND('Critères et poids'!$C$37*1440,0)-ROUND('Critères et poids'!$C$36*1440,0)))*(ROUND('Critères et poids'!$C$37*1440,0)-ROUND('Critères et poids'!$C$36*1440,0)))/1440))</f>
        <v/>
      </c>
      <c r="X196" s="16" t="n"/>
      <c r="Y196" s="14">
        <f>IF(W196="","",IF(X196="",IF(NOW()&gt;W196,"En retard","En attente"),IF(X196&lt;=W196,"À temps","En retard")))</f>
        <v/>
      </c>
      <c r="Z196" s="17" t="n"/>
      <c r="AA196" s="14">
        <f>IF($B196="","",IF(OR(T196="X",AD196&lt;&gt;""),0,MAX(0,MIN(Q196,'Critères et poids'!$C$38*INT((TODAY()-IF(Z196&lt;&gt;"",Z196,INT($A196)))/7)))))</f>
        <v/>
      </c>
      <c r="AB196" s="14">
        <f>IF($B196="","",MAX(0,S196-AA196))</f>
        <v/>
      </c>
      <c r="AC196" s="9">
        <f>IF($B196="","",IF(T196="X","X",IF(AB196&gt;='Critères et poids'!$C$29,"A",IF(AB196&gt;='Critères et poids'!$C$30,"B","C"))))</f>
        <v/>
      </c>
      <c r="AD196" s="4" t="n"/>
      <c r="AE196" s="18" t="n"/>
      <c r="AF196" s="6" t="n"/>
      <c r="AH196">
        <f>IF($A196="","",IF(OR(WEEKDAY($A196,2)&gt;5,ROUND(MOD($A196,1)*1440,0)&gt;=ROUND('Critères et poids'!$C$37*1440,0)),WORKDAY(INT($A196),1)+ROUND('Critères et poids'!$C$36*1440,0)/1440,IF(ROUND(MOD($A196,1)*1440,0)&lt;ROUND('Critères et poids'!$C$36*1440,0),INT($A196)+ROUND('Critères et poids'!$C$36*1440,0)/1440,$A196)))</f>
        <v/>
      </c>
      <c r="AI196">
        <f>IF(AH196="","",ROUND(MOD(AH196,1)*1440,0))</f>
        <v/>
      </c>
      <c r="AJ196">
        <f>IF(T196="","",INDEX('Critères et poids'!$E$29:$E$32,MATCH(T196,'Critères et poids'!$A$29:$A$32,0)))</f>
        <v/>
      </c>
    </row>
    <row r="197">
      <c r="A197" s="13" t="n"/>
      <c r="B197" s="6" t="n"/>
      <c r="C197" s="6" t="n"/>
      <c r="D197" s="4" t="n"/>
      <c r="E197" s="4" t="n"/>
      <c r="F197" s="4" t="n"/>
      <c r="G197" s="4" t="n"/>
      <c r="H197" s="4" t="n"/>
      <c r="I197" s="4" t="n"/>
      <c r="J197" s="4" t="n"/>
      <c r="K197" s="4" t="n"/>
      <c r="L197" s="4" t="n"/>
      <c r="M197" s="4" t="n"/>
      <c r="N197" s="6" t="n"/>
      <c r="O197" s="6" t="n"/>
      <c r="P197" s="14">
        <f>IF($B197="","",(E197="Clair")*'Critères et poids'!$G$5+(E197="Partiel")*'Critères et poids'!$G$5/2+(F197="Clair")*'Critères et poids'!$G$6+(F197="Partiel")*'Critères et poids'!$G$6/2+(G197="Clair")*'Critères et poids'!$G$7+(G197="Partiel")*'Critères et poids'!$G$7/2+(H197="Clair")*'Critères et poids'!$G$8+(H197="Partiel")*'Critères et poids'!$G$8/2)</f>
        <v/>
      </c>
      <c r="Q197" s="14">
        <f>IF($B197="","",(I197="Clair")*'Critères et poids'!$G$9+(I197="Partiel")*'Critères et poids'!$G$9/2+(J197="Clair")*'Critères et poids'!$G$10+(J197="Partiel")*'Critères et poids'!$G$10/2+(K197="Clair")*'Critères et poids'!$G$11+(K197="Partiel")*'Critères et poids'!$G$11/2+(L197="Clair")*'Critères et poids'!$G$12+(L197="Partiel")*'Critères et poids'!$G$12/2+(M197="Clair")*'Critères et poids'!$G$13+(M197="Partiel")*'Critères et poids'!$G$13/2)</f>
        <v/>
      </c>
      <c r="R197" s="14">
        <f>IF($B197="","",IFERROR(VLOOKUP(N197,'Critères et poids'!$B$17:$C$20,2,FALSE),0))</f>
        <v/>
      </c>
      <c r="S197" s="9">
        <f>IF($B197="","",MAX(0,P197+Q197+R197))</f>
        <v/>
      </c>
      <c r="T197" s="9">
        <f>IF($B197="","",IF(O197&lt;&gt;"","X",IF(S197&gt;='Critères et poids'!$C$29,"A",IF(S197&gt;='Critères et poids'!$C$30,"B","C"))))</f>
        <v/>
      </c>
      <c r="U197" s="14">
        <f>IF(T197="","",INDEX('Critères et poids'!$D$29:$D$32,MATCH(T197,'Critères et poids'!$A$29:$A$32,0)))</f>
        <v/>
      </c>
      <c r="V197" s="14">
        <f>IF(T197="","",INDEX('Critères et poids'!$F$29:$F$32,MATCH(T197,'Critères et poids'!$A$29:$A$32,0)))</f>
        <v/>
      </c>
      <c r="W197" s="15">
        <f>IF(OR(AH197="",AJ197=""),"",IF(AI197+AJ197*60&lt;=ROUND('Critères et poids'!$C$37*1440,0),INT(AH197)+(AI197+AJ197*60)/1440,WORKDAY(INT(AH197),1+INT((AI197+AJ197*60-ROUND('Critères et poids'!$C$37*1440,0)-1)/(ROUND('Critères et poids'!$C$37*1440,0)-ROUND('Critères et poids'!$C$36*1440,0))))+(ROUND('Critères et poids'!$C$36*1440,0)+AI197+AJ197*60-ROUND('Critères et poids'!$C$37*1440,0)-INT((AI197+AJ197*60-ROUND('Critères et poids'!$C$37*1440,0)-1)/(ROUND('Critères et poids'!$C$37*1440,0)-ROUND('Critères et poids'!$C$36*1440,0)))*(ROUND('Critères et poids'!$C$37*1440,0)-ROUND('Critères et poids'!$C$36*1440,0)))/1440))</f>
        <v/>
      </c>
      <c r="X197" s="16" t="n"/>
      <c r="Y197" s="14">
        <f>IF(W197="","",IF(X197="",IF(NOW()&gt;W197,"En retard","En attente"),IF(X197&lt;=W197,"À temps","En retard")))</f>
        <v/>
      </c>
      <c r="Z197" s="17" t="n"/>
      <c r="AA197" s="14">
        <f>IF($B197="","",IF(OR(T197="X",AD197&lt;&gt;""),0,MAX(0,MIN(Q197,'Critères et poids'!$C$38*INT((TODAY()-IF(Z197&lt;&gt;"",Z197,INT($A197)))/7)))))</f>
        <v/>
      </c>
      <c r="AB197" s="14">
        <f>IF($B197="","",MAX(0,S197-AA197))</f>
        <v/>
      </c>
      <c r="AC197" s="9">
        <f>IF($B197="","",IF(T197="X","X",IF(AB197&gt;='Critères et poids'!$C$29,"A",IF(AB197&gt;='Critères et poids'!$C$30,"B","C"))))</f>
        <v/>
      </c>
      <c r="AD197" s="4" t="n"/>
      <c r="AE197" s="18" t="n"/>
      <c r="AF197" s="6" t="n"/>
      <c r="AH197">
        <f>IF($A197="","",IF(OR(WEEKDAY($A197,2)&gt;5,ROUND(MOD($A197,1)*1440,0)&gt;=ROUND('Critères et poids'!$C$37*1440,0)),WORKDAY(INT($A197),1)+ROUND('Critères et poids'!$C$36*1440,0)/1440,IF(ROUND(MOD($A197,1)*1440,0)&lt;ROUND('Critères et poids'!$C$36*1440,0),INT($A197)+ROUND('Critères et poids'!$C$36*1440,0)/1440,$A197)))</f>
        <v/>
      </c>
      <c r="AI197">
        <f>IF(AH197="","",ROUND(MOD(AH197,1)*1440,0))</f>
        <v/>
      </c>
      <c r="AJ197">
        <f>IF(T197="","",INDEX('Critères et poids'!$E$29:$E$32,MATCH(T197,'Critères et poids'!$A$29:$A$32,0)))</f>
        <v/>
      </c>
    </row>
    <row r="198">
      <c r="A198" s="13" t="n"/>
      <c r="B198" s="6" t="n"/>
      <c r="C198" s="6" t="n"/>
      <c r="D198" s="4" t="n"/>
      <c r="E198" s="4" t="n"/>
      <c r="F198" s="4" t="n"/>
      <c r="G198" s="4" t="n"/>
      <c r="H198" s="4" t="n"/>
      <c r="I198" s="4" t="n"/>
      <c r="J198" s="4" t="n"/>
      <c r="K198" s="4" t="n"/>
      <c r="L198" s="4" t="n"/>
      <c r="M198" s="4" t="n"/>
      <c r="N198" s="6" t="n"/>
      <c r="O198" s="6" t="n"/>
      <c r="P198" s="14">
        <f>IF($B198="","",(E198="Clair")*'Critères et poids'!$G$5+(E198="Partiel")*'Critères et poids'!$G$5/2+(F198="Clair")*'Critères et poids'!$G$6+(F198="Partiel")*'Critères et poids'!$G$6/2+(G198="Clair")*'Critères et poids'!$G$7+(G198="Partiel")*'Critères et poids'!$G$7/2+(H198="Clair")*'Critères et poids'!$G$8+(H198="Partiel")*'Critères et poids'!$G$8/2)</f>
        <v/>
      </c>
      <c r="Q198" s="14">
        <f>IF($B198="","",(I198="Clair")*'Critères et poids'!$G$9+(I198="Partiel")*'Critères et poids'!$G$9/2+(J198="Clair")*'Critères et poids'!$G$10+(J198="Partiel")*'Critères et poids'!$G$10/2+(K198="Clair")*'Critères et poids'!$G$11+(K198="Partiel")*'Critères et poids'!$G$11/2+(L198="Clair")*'Critères et poids'!$G$12+(L198="Partiel")*'Critères et poids'!$G$12/2+(M198="Clair")*'Critères et poids'!$G$13+(M198="Partiel")*'Critères et poids'!$G$13/2)</f>
        <v/>
      </c>
      <c r="R198" s="14">
        <f>IF($B198="","",IFERROR(VLOOKUP(N198,'Critères et poids'!$B$17:$C$20,2,FALSE),0))</f>
        <v/>
      </c>
      <c r="S198" s="9">
        <f>IF($B198="","",MAX(0,P198+Q198+R198))</f>
        <v/>
      </c>
      <c r="T198" s="9">
        <f>IF($B198="","",IF(O198&lt;&gt;"","X",IF(S198&gt;='Critères et poids'!$C$29,"A",IF(S198&gt;='Critères et poids'!$C$30,"B","C"))))</f>
        <v/>
      </c>
      <c r="U198" s="14">
        <f>IF(T198="","",INDEX('Critères et poids'!$D$29:$D$32,MATCH(T198,'Critères et poids'!$A$29:$A$32,0)))</f>
        <v/>
      </c>
      <c r="V198" s="14">
        <f>IF(T198="","",INDEX('Critères et poids'!$F$29:$F$32,MATCH(T198,'Critères et poids'!$A$29:$A$32,0)))</f>
        <v/>
      </c>
      <c r="W198" s="15">
        <f>IF(OR(AH198="",AJ198=""),"",IF(AI198+AJ198*60&lt;=ROUND('Critères et poids'!$C$37*1440,0),INT(AH198)+(AI198+AJ198*60)/1440,WORKDAY(INT(AH198),1+INT((AI198+AJ198*60-ROUND('Critères et poids'!$C$37*1440,0)-1)/(ROUND('Critères et poids'!$C$37*1440,0)-ROUND('Critères et poids'!$C$36*1440,0))))+(ROUND('Critères et poids'!$C$36*1440,0)+AI198+AJ198*60-ROUND('Critères et poids'!$C$37*1440,0)-INT((AI198+AJ198*60-ROUND('Critères et poids'!$C$37*1440,0)-1)/(ROUND('Critères et poids'!$C$37*1440,0)-ROUND('Critères et poids'!$C$36*1440,0)))*(ROUND('Critères et poids'!$C$37*1440,0)-ROUND('Critères et poids'!$C$36*1440,0)))/1440))</f>
        <v/>
      </c>
      <c r="X198" s="16" t="n"/>
      <c r="Y198" s="14">
        <f>IF(W198="","",IF(X198="",IF(NOW()&gt;W198,"En retard","En attente"),IF(X198&lt;=W198,"À temps","En retard")))</f>
        <v/>
      </c>
      <c r="Z198" s="17" t="n"/>
      <c r="AA198" s="14">
        <f>IF($B198="","",IF(OR(T198="X",AD198&lt;&gt;""),0,MAX(0,MIN(Q198,'Critères et poids'!$C$38*INT((TODAY()-IF(Z198&lt;&gt;"",Z198,INT($A198)))/7)))))</f>
        <v/>
      </c>
      <c r="AB198" s="14">
        <f>IF($B198="","",MAX(0,S198-AA198))</f>
        <v/>
      </c>
      <c r="AC198" s="9">
        <f>IF($B198="","",IF(T198="X","X",IF(AB198&gt;='Critères et poids'!$C$29,"A",IF(AB198&gt;='Critères et poids'!$C$30,"B","C"))))</f>
        <v/>
      </c>
      <c r="AD198" s="4" t="n"/>
      <c r="AE198" s="18" t="n"/>
      <c r="AF198" s="6" t="n"/>
      <c r="AH198">
        <f>IF($A198="","",IF(OR(WEEKDAY($A198,2)&gt;5,ROUND(MOD($A198,1)*1440,0)&gt;=ROUND('Critères et poids'!$C$37*1440,0)),WORKDAY(INT($A198),1)+ROUND('Critères et poids'!$C$36*1440,0)/1440,IF(ROUND(MOD($A198,1)*1440,0)&lt;ROUND('Critères et poids'!$C$36*1440,0),INT($A198)+ROUND('Critères et poids'!$C$36*1440,0)/1440,$A198)))</f>
        <v/>
      </c>
      <c r="AI198">
        <f>IF(AH198="","",ROUND(MOD(AH198,1)*1440,0))</f>
        <v/>
      </c>
      <c r="AJ198">
        <f>IF(T198="","",INDEX('Critères et poids'!$E$29:$E$32,MATCH(T198,'Critères et poids'!$A$29:$A$32,0)))</f>
        <v/>
      </c>
    </row>
    <row r="199">
      <c r="A199" s="13" t="n"/>
      <c r="B199" s="6" t="n"/>
      <c r="C199" s="6" t="n"/>
      <c r="D199" s="4" t="n"/>
      <c r="E199" s="4" t="n"/>
      <c r="F199" s="4" t="n"/>
      <c r="G199" s="4" t="n"/>
      <c r="H199" s="4" t="n"/>
      <c r="I199" s="4" t="n"/>
      <c r="J199" s="4" t="n"/>
      <c r="K199" s="4" t="n"/>
      <c r="L199" s="4" t="n"/>
      <c r="M199" s="4" t="n"/>
      <c r="N199" s="6" t="n"/>
      <c r="O199" s="6" t="n"/>
      <c r="P199" s="14">
        <f>IF($B199="","",(E199="Clair")*'Critères et poids'!$G$5+(E199="Partiel")*'Critères et poids'!$G$5/2+(F199="Clair")*'Critères et poids'!$G$6+(F199="Partiel")*'Critères et poids'!$G$6/2+(G199="Clair")*'Critères et poids'!$G$7+(G199="Partiel")*'Critères et poids'!$G$7/2+(H199="Clair")*'Critères et poids'!$G$8+(H199="Partiel")*'Critères et poids'!$G$8/2)</f>
        <v/>
      </c>
      <c r="Q199" s="14">
        <f>IF($B199="","",(I199="Clair")*'Critères et poids'!$G$9+(I199="Partiel")*'Critères et poids'!$G$9/2+(J199="Clair")*'Critères et poids'!$G$10+(J199="Partiel")*'Critères et poids'!$G$10/2+(K199="Clair")*'Critères et poids'!$G$11+(K199="Partiel")*'Critères et poids'!$G$11/2+(L199="Clair")*'Critères et poids'!$G$12+(L199="Partiel")*'Critères et poids'!$G$12/2+(M199="Clair")*'Critères et poids'!$G$13+(M199="Partiel")*'Critères et poids'!$G$13/2)</f>
        <v/>
      </c>
      <c r="R199" s="14">
        <f>IF($B199="","",IFERROR(VLOOKUP(N199,'Critères et poids'!$B$17:$C$20,2,FALSE),0))</f>
        <v/>
      </c>
      <c r="S199" s="9">
        <f>IF($B199="","",MAX(0,P199+Q199+R199))</f>
        <v/>
      </c>
      <c r="T199" s="9">
        <f>IF($B199="","",IF(O199&lt;&gt;"","X",IF(S199&gt;='Critères et poids'!$C$29,"A",IF(S199&gt;='Critères et poids'!$C$30,"B","C"))))</f>
        <v/>
      </c>
      <c r="U199" s="14">
        <f>IF(T199="","",INDEX('Critères et poids'!$D$29:$D$32,MATCH(T199,'Critères et poids'!$A$29:$A$32,0)))</f>
        <v/>
      </c>
      <c r="V199" s="14">
        <f>IF(T199="","",INDEX('Critères et poids'!$F$29:$F$32,MATCH(T199,'Critères et poids'!$A$29:$A$32,0)))</f>
        <v/>
      </c>
      <c r="W199" s="15">
        <f>IF(OR(AH199="",AJ199=""),"",IF(AI199+AJ199*60&lt;=ROUND('Critères et poids'!$C$37*1440,0),INT(AH199)+(AI199+AJ199*60)/1440,WORKDAY(INT(AH199),1+INT((AI199+AJ199*60-ROUND('Critères et poids'!$C$37*1440,0)-1)/(ROUND('Critères et poids'!$C$37*1440,0)-ROUND('Critères et poids'!$C$36*1440,0))))+(ROUND('Critères et poids'!$C$36*1440,0)+AI199+AJ199*60-ROUND('Critères et poids'!$C$37*1440,0)-INT((AI199+AJ199*60-ROUND('Critères et poids'!$C$37*1440,0)-1)/(ROUND('Critères et poids'!$C$37*1440,0)-ROUND('Critères et poids'!$C$36*1440,0)))*(ROUND('Critères et poids'!$C$37*1440,0)-ROUND('Critères et poids'!$C$36*1440,0)))/1440))</f>
        <v/>
      </c>
      <c r="X199" s="16" t="n"/>
      <c r="Y199" s="14">
        <f>IF(W199="","",IF(X199="",IF(NOW()&gt;W199,"En retard","En attente"),IF(X199&lt;=W199,"À temps","En retard")))</f>
        <v/>
      </c>
      <c r="Z199" s="17" t="n"/>
      <c r="AA199" s="14">
        <f>IF($B199="","",IF(OR(T199="X",AD199&lt;&gt;""),0,MAX(0,MIN(Q199,'Critères et poids'!$C$38*INT((TODAY()-IF(Z199&lt;&gt;"",Z199,INT($A199)))/7)))))</f>
        <v/>
      </c>
      <c r="AB199" s="14">
        <f>IF($B199="","",MAX(0,S199-AA199))</f>
        <v/>
      </c>
      <c r="AC199" s="9">
        <f>IF($B199="","",IF(T199="X","X",IF(AB199&gt;='Critères et poids'!$C$29,"A",IF(AB199&gt;='Critères et poids'!$C$30,"B","C"))))</f>
        <v/>
      </c>
      <c r="AD199" s="4" t="n"/>
      <c r="AE199" s="18" t="n"/>
      <c r="AF199" s="6" t="n"/>
      <c r="AH199">
        <f>IF($A199="","",IF(OR(WEEKDAY($A199,2)&gt;5,ROUND(MOD($A199,1)*1440,0)&gt;=ROUND('Critères et poids'!$C$37*1440,0)),WORKDAY(INT($A199),1)+ROUND('Critères et poids'!$C$36*1440,0)/1440,IF(ROUND(MOD($A199,1)*1440,0)&lt;ROUND('Critères et poids'!$C$36*1440,0),INT($A199)+ROUND('Critères et poids'!$C$36*1440,0)/1440,$A199)))</f>
        <v/>
      </c>
      <c r="AI199">
        <f>IF(AH199="","",ROUND(MOD(AH199,1)*1440,0))</f>
        <v/>
      </c>
      <c r="AJ199">
        <f>IF(T199="","",INDEX('Critères et poids'!$E$29:$E$32,MATCH(T199,'Critères et poids'!$A$29:$A$32,0)))</f>
        <v/>
      </c>
    </row>
    <row r="200">
      <c r="A200" s="13" t="n"/>
      <c r="B200" s="6" t="n"/>
      <c r="C200" s="6" t="n"/>
      <c r="D200" s="4" t="n"/>
      <c r="E200" s="4" t="n"/>
      <c r="F200" s="4" t="n"/>
      <c r="G200" s="4" t="n"/>
      <c r="H200" s="4" t="n"/>
      <c r="I200" s="4" t="n"/>
      <c r="J200" s="4" t="n"/>
      <c r="K200" s="4" t="n"/>
      <c r="L200" s="4" t="n"/>
      <c r="M200" s="4" t="n"/>
      <c r="N200" s="6" t="n"/>
      <c r="O200" s="6" t="n"/>
      <c r="P200" s="14">
        <f>IF($B200="","",(E200="Clair")*'Critères et poids'!$G$5+(E200="Partiel")*'Critères et poids'!$G$5/2+(F200="Clair")*'Critères et poids'!$G$6+(F200="Partiel")*'Critères et poids'!$G$6/2+(G200="Clair")*'Critères et poids'!$G$7+(G200="Partiel")*'Critères et poids'!$G$7/2+(H200="Clair")*'Critères et poids'!$G$8+(H200="Partiel")*'Critères et poids'!$G$8/2)</f>
        <v/>
      </c>
      <c r="Q200" s="14">
        <f>IF($B200="","",(I200="Clair")*'Critères et poids'!$G$9+(I200="Partiel")*'Critères et poids'!$G$9/2+(J200="Clair")*'Critères et poids'!$G$10+(J200="Partiel")*'Critères et poids'!$G$10/2+(K200="Clair")*'Critères et poids'!$G$11+(K200="Partiel")*'Critères et poids'!$G$11/2+(L200="Clair")*'Critères et poids'!$G$12+(L200="Partiel")*'Critères et poids'!$G$12/2+(M200="Clair")*'Critères et poids'!$G$13+(M200="Partiel")*'Critères et poids'!$G$13/2)</f>
        <v/>
      </c>
      <c r="R200" s="14">
        <f>IF($B200="","",IFERROR(VLOOKUP(N200,'Critères et poids'!$B$17:$C$20,2,FALSE),0))</f>
        <v/>
      </c>
      <c r="S200" s="9">
        <f>IF($B200="","",MAX(0,P200+Q200+R200))</f>
        <v/>
      </c>
      <c r="T200" s="9">
        <f>IF($B200="","",IF(O200&lt;&gt;"","X",IF(S200&gt;='Critères et poids'!$C$29,"A",IF(S200&gt;='Critères et poids'!$C$30,"B","C"))))</f>
        <v/>
      </c>
      <c r="U200" s="14">
        <f>IF(T200="","",INDEX('Critères et poids'!$D$29:$D$32,MATCH(T200,'Critères et poids'!$A$29:$A$32,0)))</f>
        <v/>
      </c>
      <c r="V200" s="14">
        <f>IF(T200="","",INDEX('Critères et poids'!$F$29:$F$32,MATCH(T200,'Critères et poids'!$A$29:$A$32,0)))</f>
        <v/>
      </c>
      <c r="W200" s="15">
        <f>IF(OR(AH200="",AJ200=""),"",IF(AI200+AJ200*60&lt;=ROUND('Critères et poids'!$C$37*1440,0),INT(AH200)+(AI200+AJ200*60)/1440,WORKDAY(INT(AH200),1+INT((AI200+AJ200*60-ROUND('Critères et poids'!$C$37*1440,0)-1)/(ROUND('Critères et poids'!$C$37*1440,0)-ROUND('Critères et poids'!$C$36*1440,0))))+(ROUND('Critères et poids'!$C$36*1440,0)+AI200+AJ200*60-ROUND('Critères et poids'!$C$37*1440,0)-INT((AI200+AJ200*60-ROUND('Critères et poids'!$C$37*1440,0)-1)/(ROUND('Critères et poids'!$C$37*1440,0)-ROUND('Critères et poids'!$C$36*1440,0)))*(ROUND('Critères et poids'!$C$37*1440,0)-ROUND('Critères et poids'!$C$36*1440,0)))/1440))</f>
        <v/>
      </c>
      <c r="X200" s="16" t="n"/>
      <c r="Y200" s="14">
        <f>IF(W200="","",IF(X200="",IF(NOW()&gt;W200,"En retard","En attente"),IF(X200&lt;=W200,"À temps","En retard")))</f>
        <v/>
      </c>
      <c r="Z200" s="17" t="n"/>
      <c r="AA200" s="14">
        <f>IF($B200="","",IF(OR(T200="X",AD200&lt;&gt;""),0,MAX(0,MIN(Q200,'Critères et poids'!$C$38*INT((TODAY()-IF(Z200&lt;&gt;"",Z200,INT($A200)))/7)))))</f>
        <v/>
      </c>
      <c r="AB200" s="14">
        <f>IF($B200="","",MAX(0,S200-AA200))</f>
        <v/>
      </c>
      <c r="AC200" s="9">
        <f>IF($B200="","",IF(T200="X","X",IF(AB200&gt;='Critères et poids'!$C$29,"A",IF(AB200&gt;='Critères et poids'!$C$30,"B","C"))))</f>
        <v/>
      </c>
      <c r="AD200" s="4" t="n"/>
      <c r="AE200" s="18" t="n"/>
      <c r="AF200" s="6" t="n"/>
      <c r="AH200">
        <f>IF($A200="","",IF(OR(WEEKDAY($A200,2)&gt;5,ROUND(MOD($A200,1)*1440,0)&gt;=ROUND('Critères et poids'!$C$37*1440,0)),WORKDAY(INT($A200),1)+ROUND('Critères et poids'!$C$36*1440,0)/1440,IF(ROUND(MOD($A200,1)*1440,0)&lt;ROUND('Critères et poids'!$C$36*1440,0),INT($A200)+ROUND('Critères et poids'!$C$36*1440,0)/1440,$A200)))</f>
        <v/>
      </c>
      <c r="AI200">
        <f>IF(AH200="","",ROUND(MOD(AH200,1)*1440,0))</f>
        <v/>
      </c>
      <c r="AJ200">
        <f>IF(T200="","",INDEX('Critères et poids'!$E$29:$E$32,MATCH(T200,'Critères et poids'!$A$29:$A$32,0)))</f>
        <v/>
      </c>
    </row>
    <row r="201">
      <c r="A201" s="13" t="n"/>
      <c r="B201" s="6" t="n"/>
      <c r="C201" s="6" t="n"/>
      <c r="D201" s="4" t="n"/>
      <c r="E201" s="4" t="n"/>
      <c r="F201" s="4" t="n"/>
      <c r="G201" s="4" t="n"/>
      <c r="H201" s="4" t="n"/>
      <c r="I201" s="4" t="n"/>
      <c r="J201" s="4" t="n"/>
      <c r="K201" s="4" t="n"/>
      <c r="L201" s="4" t="n"/>
      <c r="M201" s="4" t="n"/>
      <c r="N201" s="6" t="n"/>
      <c r="O201" s="6" t="n"/>
      <c r="P201" s="14">
        <f>IF($B201="","",(E201="Clair")*'Critères et poids'!$G$5+(E201="Partiel")*'Critères et poids'!$G$5/2+(F201="Clair")*'Critères et poids'!$G$6+(F201="Partiel")*'Critères et poids'!$G$6/2+(G201="Clair")*'Critères et poids'!$G$7+(G201="Partiel")*'Critères et poids'!$G$7/2+(H201="Clair")*'Critères et poids'!$G$8+(H201="Partiel")*'Critères et poids'!$G$8/2)</f>
        <v/>
      </c>
      <c r="Q201" s="14">
        <f>IF($B201="","",(I201="Clair")*'Critères et poids'!$G$9+(I201="Partiel")*'Critères et poids'!$G$9/2+(J201="Clair")*'Critères et poids'!$G$10+(J201="Partiel")*'Critères et poids'!$G$10/2+(K201="Clair")*'Critères et poids'!$G$11+(K201="Partiel")*'Critères et poids'!$G$11/2+(L201="Clair")*'Critères et poids'!$G$12+(L201="Partiel")*'Critères et poids'!$G$12/2+(M201="Clair")*'Critères et poids'!$G$13+(M201="Partiel")*'Critères et poids'!$G$13/2)</f>
        <v/>
      </c>
      <c r="R201" s="14">
        <f>IF($B201="","",IFERROR(VLOOKUP(N201,'Critères et poids'!$B$17:$C$20,2,FALSE),0))</f>
        <v/>
      </c>
      <c r="S201" s="9">
        <f>IF($B201="","",MAX(0,P201+Q201+R201))</f>
        <v/>
      </c>
      <c r="T201" s="9">
        <f>IF($B201="","",IF(O201&lt;&gt;"","X",IF(S201&gt;='Critères et poids'!$C$29,"A",IF(S201&gt;='Critères et poids'!$C$30,"B","C"))))</f>
        <v/>
      </c>
      <c r="U201" s="14">
        <f>IF(T201="","",INDEX('Critères et poids'!$D$29:$D$32,MATCH(T201,'Critères et poids'!$A$29:$A$32,0)))</f>
        <v/>
      </c>
      <c r="V201" s="14">
        <f>IF(T201="","",INDEX('Critères et poids'!$F$29:$F$32,MATCH(T201,'Critères et poids'!$A$29:$A$32,0)))</f>
        <v/>
      </c>
      <c r="W201" s="15">
        <f>IF(OR(AH201="",AJ201=""),"",IF(AI201+AJ201*60&lt;=ROUND('Critères et poids'!$C$37*1440,0),INT(AH201)+(AI201+AJ201*60)/1440,WORKDAY(INT(AH201),1+INT((AI201+AJ201*60-ROUND('Critères et poids'!$C$37*1440,0)-1)/(ROUND('Critères et poids'!$C$37*1440,0)-ROUND('Critères et poids'!$C$36*1440,0))))+(ROUND('Critères et poids'!$C$36*1440,0)+AI201+AJ201*60-ROUND('Critères et poids'!$C$37*1440,0)-INT((AI201+AJ201*60-ROUND('Critères et poids'!$C$37*1440,0)-1)/(ROUND('Critères et poids'!$C$37*1440,0)-ROUND('Critères et poids'!$C$36*1440,0)))*(ROUND('Critères et poids'!$C$37*1440,0)-ROUND('Critères et poids'!$C$36*1440,0)))/1440))</f>
        <v/>
      </c>
      <c r="X201" s="16" t="n"/>
      <c r="Y201" s="14">
        <f>IF(W201="","",IF(X201="",IF(NOW()&gt;W201,"En retard","En attente"),IF(X201&lt;=W201,"À temps","En retard")))</f>
        <v/>
      </c>
      <c r="Z201" s="17" t="n"/>
      <c r="AA201" s="14">
        <f>IF($B201="","",IF(OR(T201="X",AD201&lt;&gt;""),0,MAX(0,MIN(Q201,'Critères et poids'!$C$38*INT((TODAY()-IF(Z201&lt;&gt;"",Z201,INT($A201)))/7)))))</f>
        <v/>
      </c>
      <c r="AB201" s="14">
        <f>IF($B201="","",MAX(0,S201-AA201))</f>
        <v/>
      </c>
      <c r="AC201" s="9">
        <f>IF($B201="","",IF(T201="X","X",IF(AB201&gt;='Critères et poids'!$C$29,"A",IF(AB201&gt;='Critères et poids'!$C$30,"B","C"))))</f>
        <v/>
      </c>
      <c r="AD201" s="4" t="n"/>
      <c r="AE201" s="18" t="n"/>
      <c r="AF201" s="6" t="n"/>
      <c r="AH201">
        <f>IF($A201="","",IF(OR(WEEKDAY($A201,2)&gt;5,ROUND(MOD($A201,1)*1440,0)&gt;=ROUND('Critères et poids'!$C$37*1440,0)),WORKDAY(INT($A201),1)+ROUND('Critères et poids'!$C$36*1440,0)/1440,IF(ROUND(MOD($A201,1)*1440,0)&lt;ROUND('Critères et poids'!$C$36*1440,0),INT($A201)+ROUND('Critères et poids'!$C$36*1440,0)/1440,$A201)))</f>
        <v/>
      </c>
      <c r="AI201">
        <f>IF(AH201="","",ROUND(MOD(AH201,1)*1440,0))</f>
        <v/>
      </c>
      <c r="AJ201">
        <f>IF(T201="","",INDEX('Critères et poids'!$E$29:$E$32,MATCH(T201,'Critères et poids'!$A$29:$A$32,0)))</f>
        <v/>
      </c>
    </row>
    <row r="202">
      <c r="A202" s="13" t="n"/>
      <c r="B202" s="6" t="n"/>
      <c r="C202" s="6" t="n"/>
      <c r="D202" s="4" t="n"/>
      <c r="E202" s="4" t="n"/>
      <c r="F202" s="4" t="n"/>
      <c r="G202" s="4" t="n"/>
      <c r="H202" s="4" t="n"/>
      <c r="I202" s="4" t="n"/>
      <c r="J202" s="4" t="n"/>
      <c r="K202" s="4" t="n"/>
      <c r="L202" s="4" t="n"/>
      <c r="M202" s="4" t="n"/>
      <c r="N202" s="6" t="n"/>
      <c r="O202" s="6" t="n"/>
      <c r="P202" s="14">
        <f>IF($B202="","",(E202="Clair")*'Critères et poids'!$G$5+(E202="Partiel")*'Critères et poids'!$G$5/2+(F202="Clair")*'Critères et poids'!$G$6+(F202="Partiel")*'Critères et poids'!$G$6/2+(G202="Clair")*'Critères et poids'!$G$7+(G202="Partiel")*'Critères et poids'!$G$7/2+(H202="Clair")*'Critères et poids'!$G$8+(H202="Partiel")*'Critères et poids'!$G$8/2)</f>
        <v/>
      </c>
      <c r="Q202" s="14">
        <f>IF($B202="","",(I202="Clair")*'Critères et poids'!$G$9+(I202="Partiel")*'Critères et poids'!$G$9/2+(J202="Clair")*'Critères et poids'!$G$10+(J202="Partiel")*'Critères et poids'!$G$10/2+(K202="Clair")*'Critères et poids'!$G$11+(K202="Partiel")*'Critères et poids'!$G$11/2+(L202="Clair")*'Critères et poids'!$G$12+(L202="Partiel")*'Critères et poids'!$G$12/2+(M202="Clair")*'Critères et poids'!$G$13+(M202="Partiel")*'Critères et poids'!$G$13/2)</f>
        <v/>
      </c>
      <c r="R202" s="14">
        <f>IF($B202="","",IFERROR(VLOOKUP(N202,'Critères et poids'!$B$17:$C$20,2,FALSE),0))</f>
        <v/>
      </c>
      <c r="S202" s="9">
        <f>IF($B202="","",MAX(0,P202+Q202+R202))</f>
        <v/>
      </c>
      <c r="T202" s="9">
        <f>IF($B202="","",IF(O202&lt;&gt;"","X",IF(S202&gt;='Critères et poids'!$C$29,"A",IF(S202&gt;='Critères et poids'!$C$30,"B","C"))))</f>
        <v/>
      </c>
      <c r="U202" s="14">
        <f>IF(T202="","",INDEX('Critères et poids'!$D$29:$D$32,MATCH(T202,'Critères et poids'!$A$29:$A$32,0)))</f>
        <v/>
      </c>
      <c r="V202" s="14">
        <f>IF(T202="","",INDEX('Critères et poids'!$F$29:$F$32,MATCH(T202,'Critères et poids'!$A$29:$A$32,0)))</f>
        <v/>
      </c>
      <c r="W202" s="15">
        <f>IF(OR(AH202="",AJ202=""),"",IF(AI202+AJ202*60&lt;=ROUND('Critères et poids'!$C$37*1440,0),INT(AH202)+(AI202+AJ202*60)/1440,WORKDAY(INT(AH202),1+INT((AI202+AJ202*60-ROUND('Critères et poids'!$C$37*1440,0)-1)/(ROUND('Critères et poids'!$C$37*1440,0)-ROUND('Critères et poids'!$C$36*1440,0))))+(ROUND('Critères et poids'!$C$36*1440,0)+AI202+AJ202*60-ROUND('Critères et poids'!$C$37*1440,0)-INT((AI202+AJ202*60-ROUND('Critères et poids'!$C$37*1440,0)-1)/(ROUND('Critères et poids'!$C$37*1440,0)-ROUND('Critères et poids'!$C$36*1440,0)))*(ROUND('Critères et poids'!$C$37*1440,0)-ROUND('Critères et poids'!$C$36*1440,0)))/1440))</f>
        <v/>
      </c>
      <c r="X202" s="16" t="n"/>
      <c r="Y202" s="14">
        <f>IF(W202="","",IF(X202="",IF(NOW()&gt;W202,"En retard","En attente"),IF(X202&lt;=W202,"À temps","En retard")))</f>
        <v/>
      </c>
      <c r="Z202" s="17" t="n"/>
      <c r="AA202" s="14">
        <f>IF($B202="","",IF(OR(T202="X",AD202&lt;&gt;""),0,MAX(0,MIN(Q202,'Critères et poids'!$C$38*INT((TODAY()-IF(Z202&lt;&gt;"",Z202,INT($A202)))/7)))))</f>
        <v/>
      </c>
      <c r="AB202" s="14">
        <f>IF($B202="","",MAX(0,S202-AA202))</f>
        <v/>
      </c>
      <c r="AC202" s="9">
        <f>IF($B202="","",IF(T202="X","X",IF(AB202&gt;='Critères et poids'!$C$29,"A",IF(AB202&gt;='Critères et poids'!$C$30,"B","C"))))</f>
        <v/>
      </c>
      <c r="AD202" s="4" t="n"/>
      <c r="AE202" s="18" t="n"/>
      <c r="AF202" s="6" t="n"/>
      <c r="AH202">
        <f>IF($A202="","",IF(OR(WEEKDAY($A202,2)&gt;5,ROUND(MOD($A202,1)*1440,0)&gt;=ROUND('Critères et poids'!$C$37*1440,0)),WORKDAY(INT($A202),1)+ROUND('Critères et poids'!$C$36*1440,0)/1440,IF(ROUND(MOD($A202,1)*1440,0)&lt;ROUND('Critères et poids'!$C$36*1440,0),INT($A202)+ROUND('Critères et poids'!$C$36*1440,0)/1440,$A202)))</f>
        <v/>
      </c>
      <c r="AI202">
        <f>IF(AH202="","",ROUND(MOD(AH202,1)*1440,0))</f>
        <v/>
      </c>
      <c r="AJ202">
        <f>IF(T202="","",INDEX('Critères et poids'!$E$29:$E$32,MATCH(T202,'Critères et poids'!$A$29:$A$32,0)))</f>
        <v/>
      </c>
    </row>
    <row r="203">
      <c r="A203" s="13" t="n"/>
      <c r="B203" s="6" t="n"/>
      <c r="C203" s="6" t="n"/>
      <c r="D203" s="4" t="n"/>
      <c r="E203" s="4" t="n"/>
      <c r="F203" s="4" t="n"/>
      <c r="G203" s="4" t="n"/>
      <c r="H203" s="4" t="n"/>
      <c r="I203" s="4" t="n"/>
      <c r="J203" s="4" t="n"/>
      <c r="K203" s="4" t="n"/>
      <c r="L203" s="4" t="n"/>
      <c r="M203" s="4" t="n"/>
      <c r="N203" s="6" t="n"/>
      <c r="O203" s="6" t="n"/>
      <c r="P203" s="14">
        <f>IF($B203="","",(E203="Clair")*'Critères et poids'!$G$5+(E203="Partiel")*'Critères et poids'!$G$5/2+(F203="Clair")*'Critères et poids'!$G$6+(F203="Partiel")*'Critères et poids'!$G$6/2+(G203="Clair")*'Critères et poids'!$G$7+(G203="Partiel")*'Critères et poids'!$G$7/2+(H203="Clair")*'Critères et poids'!$G$8+(H203="Partiel")*'Critères et poids'!$G$8/2)</f>
        <v/>
      </c>
      <c r="Q203" s="14">
        <f>IF($B203="","",(I203="Clair")*'Critères et poids'!$G$9+(I203="Partiel")*'Critères et poids'!$G$9/2+(J203="Clair")*'Critères et poids'!$G$10+(J203="Partiel")*'Critères et poids'!$G$10/2+(K203="Clair")*'Critères et poids'!$G$11+(K203="Partiel")*'Critères et poids'!$G$11/2+(L203="Clair")*'Critères et poids'!$G$12+(L203="Partiel")*'Critères et poids'!$G$12/2+(M203="Clair")*'Critères et poids'!$G$13+(M203="Partiel")*'Critères et poids'!$G$13/2)</f>
        <v/>
      </c>
      <c r="R203" s="14">
        <f>IF($B203="","",IFERROR(VLOOKUP(N203,'Critères et poids'!$B$17:$C$20,2,FALSE),0))</f>
        <v/>
      </c>
      <c r="S203" s="9">
        <f>IF($B203="","",MAX(0,P203+Q203+R203))</f>
        <v/>
      </c>
      <c r="T203" s="9">
        <f>IF($B203="","",IF(O203&lt;&gt;"","X",IF(S203&gt;='Critères et poids'!$C$29,"A",IF(S203&gt;='Critères et poids'!$C$30,"B","C"))))</f>
        <v/>
      </c>
      <c r="U203" s="14">
        <f>IF(T203="","",INDEX('Critères et poids'!$D$29:$D$32,MATCH(T203,'Critères et poids'!$A$29:$A$32,0)))</f>
        <v/>
      </c>
      <c r="V203" s="14">
        <f>IF(T203="","",INDEX('Critères et poids'!$F$29:$F$32,MATCH(T203,'Critères et poids'!$A$29:$A$32,0)))</f>
        <v/>
      </c>
      <c r="W203" s="15">
        <f>IF(OR(AH203="",AJ203=""),"",IF(AI203+AJ203*60&lt;=ROUND('Critères et poids'!$C$37*1440,0),INT(AH203)+(AI203+AJ203*60)/1440,WORKDAY(INT(AH203),1+INT((AI203+AJ203*60-ROUND('Critères et poids'!$C$37*1440,0)-1)/(ROUND('Critères et poids'!$C$37*1440,0)-ROUND('Critères et poids'!$C$36*1440,0))))+(ROUND('Critères et poids'!$C$36*1440,0)+AI203+AJ203*60-ROUND('Critères et poids'!$C$37*1440,0)-INT((AI203+AJ203*60-ROUND('Critères et poids'!$C$37*1440,0)-1)/(ROUND('Critères et poids'!$C$37*1440,0)-ROUND('Critères et poids'!$C$36*1440,0)))*(ROUND('Critères et poids'!$C$37*1440,0)-ROUND('Critères et poids'!$C$36*1440,0)))/1440))</f>
        <v/>
      </c>
      <c r="X203" s="16" t="n"/>
      <c r="Y203" s="14">
        <f>IF(W203="","",IF(X203="",IF(NOW()&gt;W203,"En retard","En attente"),IF(X203&lt;=W203,"À temps","En retard")))</f>
        <v/>
      </c>
      <c r="Z203" s="17" t="n"/>
      <c r="AA203" s="14">
        <f>IF($B203="","",IF(OR(T203="X",AD203&lt;&gt;""),0,MAX(0,MIN(Q203,'Critères et poids'!$C$38*INT((TODAY()-IF(Z203&lt;&gt;"",Z203,INT($A203)))/7)))))</f>
        <v/>
      </c>
      <c r="AB203" s="14">
        <f>IF($B203="","",MAX(0,S203-AA203))</f>
        <v/>
      </c>
      <c r="AC203" s="9">
        <f>IF($B203="","",IF(T203="X","X",IF(AB203&gt;='Critères et poids'!$C$29,"A",IF(AB203&gt;='Critères et poids'!$C$30,"B","C"))))</f>
        <v/>
      </c>
      <c r="AD203" s="4" t="n"/>
      <c r="AE203" s="18" t="n"/>
      <c r="AF203" s="6" t="n"/>
      <c r="AH203">
        <f>IF($A203="","",IF(OR(WEEKDAY($A203,2)&gt;5,ROUND(MOD($A203,1)*1440,0)&gt;=ROUND('Critères et poids'!$C$37*1440,0)),WORKDAY(INT($A203),1)+ROUND('Critères et poids'!$C$36*1440,0)/1440,IF(ROUND(MOD($A203,1)*1440,0)&lt;ROUND('Critères et poids'!$C$36*1440,0),INT($A203)+ROUND('Critères et poids'!$C$36*1440,0)/1440,$A203)))</f>
        <v/>
      </c>
      <c r="AI203">
        <f>IF(AH203="","",ROUND(MOD(AH203,1)*1440,0))</f>
        <v/>
      </c>
      <c r="AJ203">
        <f>IF(T203="","",INDEX('Critères et poids'!$E$29:$E$32,MATCH(T203,'Critères et poids'!$A$29:$A$32,0)))</f>
        <v/>
      </c>
    </row>
    <row r="204">
      <c r="A204" s="13" t="n"/>
      <c r="B204" s="6" t="n"/>
      <c r="C204" s="6" t="n"/>
      <c r="D204" s="4" t="n"/>
      <c r="E204" s="4" t="n"/>
      <c r="F204" s="4" t="n"/>
      <c r="G204" s="4" t="n"/>
      <c r="H204" s="4" t="n"/>
      <c r="I204" s="4" t="n"/>
      <c r="J204" s="4" t="n"/>
      <c r="K204" s="4" t="n"/>
      <c r="L204" s="4" t="n"/>
      <c r="M204" s="4" t="n"/>
      <c r="N204" s="6" t="n"/>
      <c r="O204" s="6" t="n"/>
      <c r="P204" s="14">
        <f>IF($B204="","",(E204="Clair")*'Critères et poids'!$G$5+(E204="Partiel")*'Critères et poids'!$G$5/2+(F204="Clair")*'Critères et poids'!$G$6+(F204="Partiel")*'Critères et poids'!$G$6/2+(G204="Clair")*'Critères et poids'!$G$7+(G204="Partiel")*'Critères et poids'!$G$7/2+(H204="Clair")*'Critères et poids'!$G$8+(H204="Partiel")*'Critères et poids'!$G$8/2)</f>
        <v/>
      </c>
      <c r="Q204" s="14">
        <f>IF($B204="","",(I204="Clair")*'Critères et poids'!$G$9+(I204="Partiel")*'Critères et poids'!$G$9/2+(J204="Clair")*'Critères et poids'!$G$10+(J204="Partiel")*'Critères et poids'!$G$10/2+(K204="Clair")*'Critères et poids'!$G$11+(K204="Partiel")*'Critères et poids'!$G$11/2+(L204="Clair")*'Critères et poids'!$G$12+(L204="Partiel")*'Critères et poids'!$G$12/2+(M204="Clair")*'Critères et poids'!$G$13+(M204="Partiel")*'Critères et poids'!$G$13/2)</f>
        <v/>
      </c>
      <c r="R204" s="14">
        <f>IF($B204="","",IFERROR(VLOOKUP(N204,'Critères et poids'!$B$17:$C$20,2,FALSE),0))</f>
        <v/>
      </c>
      <c r="S204" s="9">
        <f>IF($B204="","",MAX(0,P204+Q204+R204))</f>
        <v/>
      </c>
      <c r="T204" s="9">
        <f>IF($B204="","",IF(O204&lt;&gt;"","X",IF(S204&gt;='Critères et poids'!$C$29,"A",IF(S204&gt;='Critères et poids'!$C$30,"B","C"))))</f>
        <v/>
      </c>
      <c r="U204" s="14">
        <f>IF(T204="","",INDEX('Critères et poids'!$D$29:$D$32,MATCH(T204,'Critères et poids'!$A$29:$A$32,0)))</f>
        <v/>
      </c>
      <c r="V204" s="14">
        <f>IF(T204="","",INDEX('Critères et poids'!$F$29:$F$32,MATCH(T204,'Critères et poids'!$A$29:$A$32,0)))</f>
        <v/>
      </c>
      <c r="W204" s="15">
        <f>IF(OR(AH204="",AJ204=""),"",IF(AI204+AJ204*60&lt;=ROUND('Critères et poids'!$C$37*1440,0),INT(AH204)+(AI204+AJ204*60)/1440,WORKDAY(INT(AH204),1+INT((AI204+AJ204*60-ROUND('Critères et poids'!$C$37*1440,0)-1)/(ROUND('Critères et poids'!$C$37*1440,0)-ROUND('Critères et poids'!$C$36*1440,0))))+(ROUND('Critères et poids'!$C$36*1440,0)+AI204+AJ204*60-ROUND('Critères et poids'!$C$37*1440,0)-INT((AI204+AJ204*60-ROUND('Critères et poids'!$C$37*1440,0)-1)/(ROUND('Critères et poids'!$C$37*1440,0)-ROUND('Critères et poids'!$C$36*1440,0)))*(ROUND('Critères et poids'!$C$37*1440,0)-ROUND('Critères et poids'!$C$36*1440,0)))/1440))</f>
        <v/>
      </c>
      <c r="X204" s="16" t="n"/>
      <c r="Y204" s="14">
        <f>IF(W204="","",IF(X204="",IF(NOW()&gt;W204,"En retard","En attente"),IF(X204&lt;=W204,"À temps","En retard")))</f>
        <v/>
      </c>
      <c r="Z204" s="17" t="n"/>
      <c r="AA204" s="14">
        <f>IF($B204="","",IF(OR(T204="X",AD204&lt;&gt;""),0,MAX(0,MIN(Q204,'Critères et poids'!$C$38*INT((TODAY()-IF(Z204&lt;&gt;"",Z204,INT($A204)))/7)))))</f>
        <v/>
      </c>
      <c r="AB204" s="14">
        <f>IF($B204="","",MAX(0,S204-AA204))</f>
        <v/>
      </c>
      <c r="AC204" s="9">
        <f>IF($B204="","",IF(T204="X","X",IF(AB204&gt;='Critères et poids'!$C$29,"A",IF(AB204&gt;='Critères et poids'!$C$30,"B","C"))))</f>
        <v/>
      </c>
      <c r="AD204" s="4" t="n"/>
      <c r="AE204" s="18" t="n"/>
      <c r="AF204" s="6" t="n"/>
      <c r="AH204">
        <f>IF($A204="","",IF(OR(WEEKDAY($A204,2)&gt;5,ROUND(MOD($A204,1)*1440,0)&gt;=ROUND('Critères et poids'!$C$37*1440,0)),WORKDAY(INT($A204),1)+ROUND('Critères et poids'!$C$36*1440,0)/1440,IF(ROUND(MOD($A204,1)*1440,0)&lt;ROUND('Critères et poids'!$C$36*1440,0),INT($A204)+ROUND('Critères et poids'!$C$36*1440,0)/1440,$A204)))</f>
        <v/>
      </c>
      <c r="AI204">
        <f>IF(AH204="","",ROUND(MOD(AH204,1)*1440,0))</f>
        <v/>
      </c>
      <c r="AJ204">
        <f>IF(T204="","",INDEX('Critères et poids'!$E$29:$E$32,MATCH(T204,'Critères et poids'!$A$29:$A$32,0)))</f>
        <v/>
      </c>
    </row>
    <row r="205">
      <c r="A205" s="13" t="n"/>
      <c r="B205" s="6" t="n"/>
      <c r="C205" s="6" t="n"/>
      <c r="D205" s="4" t="n"/>
      <c r="E205" s="4" t="n"/>
      <c r="F205" s="4" t="n"/>
      <c r="G205" s="4" t="n"/>
      <c r="H205" s="4" t="n"/>
      <c r="I205" s="4" t="n"/>
      <c r="J205" s="4" t="n"/>
      <c r="K205" s="4" t="n"/>
      <c r="L205" s="4" t="n"/>
      <c r="M205" s="4" t="n"/>
      <c r="N205" s="6" t="n"/>
      <c r="O205" s="6" t="n"/>
      <c r="P205" s="14">
        <f>IF($B205="","",(E205="Clair")*'Critères et poids'!$G$5+(E205="Partiel")*'Critères et poids'!$G$5/2+(F205="Clair")*'Critères et poids'!$G$6+(F205="Partiel")*'Critères et poids'!$G$6/2+(G205="Clair")*'Critères et poids'!$G$7+(G205="Partiel")*'Critères et poids'!$G$7/2+(H205="Clair")*'Critères et poids'!$G$8+(H205="Partiel")*'Critères et poids'!$G$8/2)</f>
        <v/>
      </c>
      <c r="Q205" s="14">
        <f>IF($B205="","",(I205="Clair")*'Critères et poids'!$G$9+(I205="Partiel")*'Critères et poids'!$G$9/2+(J205="Clair")*'Critères et poids'!$G$10+(J205="Partiel")*'Critères et poids'!$G$10/2+(K205="Clair")*'Critères et poids'!$G$11+(K205="Partiel")*'Critères et poids'!$G$11/2+(L205="Clair")*'Critères et poids'!$G$12+(L205="Partiel")*'Critères et poids'!$G$12/2+(M205="Clair")*'Critères et poids'!$G$13+(M205="Partiel")*'Critères et poids'!$G$13/2)</f>
        <v/>
      </c>
      <c r="R205" s="14">
        <f>IF($B205="","",IFERROR(VLOOKUP(N205,'Critères et poids'!$B$17:$C$20,2,FALSE),0))</f>
        <v/>
      </c>
      <c r="S205" s="9">
        <f>IF($B205="","",MAX(0,P205+Q205+R205))</f>
        <v/>
      </c>
      <c r="T205" s="9">
        <f>IF($B205="","",IF(O205&lt;&gt;"","X",IF(S205&gt;='Critères et poids'!$C$29,"A",IF(S205&gt;='Critères et poids'!$C$30,"B","C"))))</f>
        <v/>
      </c>
      <c r="U205" s="14">
        <f>IF(T205="","",INDEX('Critères et poids'!$D$29:$D$32,MATCH(T205,'Critères et poids'!$A$29:$A$32,0)))</f>
        <v/>
      </c>
      <c r="V205" s="14">
        <f>IF(T205="","",INDEX('Critères et poids'!$F$29:$F$32,MATCH(T205,'Critères et poids'!$A$29:$A$32,0)))</f>
        <v/>
      </c>
      <c r="W205" s="15">
        <f>IF(OR(AH205="",AJ205=""),"",IF(AI205+AJ205*60&lt;=ROUND('Critères et poids'!$C$37*1440,0),INT(AH205)+(AI205+AJ205*60)/1440,WORKDAY(INT(AH205),1+INT((AI205+AJ205*60-ROUND('Critères et poids'!$C$37*1440,0)-1)/(ROUND('Critères et poids'!$C$37*1440,0)-ROUND('Critères et poids'!$C$36*1440,0))))+(ROUND('Critères et poids'!$C$36*1440,0)+AI205+AJ205*60-ROUND('Critères et poids'!$C$37*1440,0)-INT((AI205+AJ205*60-ROUND('Critères et poids'!$C$37*1440,0)-1)/(ROUND('Critères et poids'!$C$37*1440,0)-ROUND('Critères et poids'!$C$36*1440,0)))*(ROUND('Critères et poids'!$C$37*1440,0)-ROUND('Critères et poids'!$C$36*1440,0)))/1440))</f>
        <v/>
      </c>
      <c r="X205" s="16" t="n"/>
      <c r="Y205" s="14">
        <f>IF(W205="","",IF(X205="",IF(NOW()&gt;W205,"En retard","En attente"),IF(X205&lt;=W205,"À temps","En retard")))</f>
        <v/>
      </c>
      <c r="Z205" s="17" t="n"/>
      <c r="AA205" s="14">
        <f>IF($B205="","",IF(OR(T205="X",AD205&lt;&gt;""),0,MAX(0,MIN(Q205,'Critères et poids'!$C$38*INT((TODAY()-IF(Z205&lt;&gt;"",Z205,INT($A205)))/7)))))</f>
        <v/>
      </c>
      <c r="AB205" s="14">
        <f>IF($B205="","",MAX(0,S205-AA205))</f>
        <v/>
      </c>
      <c r="AC205" s="9">
        <f>IF($B205="","",IF(T205="X","X",IF(AB205&gt;='Critères et poids'!$C$29,"A",IF(AB205&gt;='Critères et poids'!$C$30,"B","C"))))</f>
        <v/>
      </c>
      <c r="AD205" s="4" t="n"/>
      <c r="AE205" s="18" t="n"/>
      <c r="AF205" s="6" t="n"/>
      <c r="AH205">
        <f>IF($A205="","",IF(OR(WEEKDAY($A205,2)&gt;5,ROUND(MOD($A205,1)*1440,0)&gt;=ROUND('Critères et poids'!$C$37*1440,0)),WORKDAY(INT($A205),1)+ROUND('Critères et poids'!$C$36*1440,0)/1440,IF(ROUND(MOD($A205,1)*1440,0)&lt;ROUND('Critères et poids'!$C$36*1440,0),INT($A205)+ROUND('Critères et poids'!$C$36*1440,0)/1440,$A205)))</f>
        <v/>
      </c>
      <c r="AI205">
        <f>IF(AH205="","",ROUND(MOD(AH205,1)*1440,0))</f>
        <v/>
      </c>
      <c r="AJ205">
        <f>IF(T205="","",INDEX('Critères et poids'!$E$29:$E$32,MATCH(T205,'Critères et poids'!$A$29:$A$32,0)))</f>
        <v/>
      </c>
    </row>
    <row r="206">
      <c r="A206" s="13" t="n"/>
      <c r="B206" s="6" t="n"/>
      <c r="C206" s="6" t="n"/>
      <c r="D206" s="4" t="n"/>
      <c r="E206" s="4" t="n"/>
      <c r="F206" s="4" t="n"/>
      <c r="G206" s="4" t="n"/>
      <c r="H206" s="4" t="n"/>
      <c r="I206" s="4" t="n"/>
      <c r="J206" s="4" t="n"/>
      <c r="K206" s="4" t="n"/>
      <c r="L206" s="4" t="n"/>
      <c r="M206" s="4" t="n"/>
      <c r="N206" s="6" t="n"/>
      <c r="O206" s="6" t="n"/>
      <c r="P206" s="14">
        <f>IF($B206="","",(E206="Clair")*'Critères et poids'!$G$5+(E206="Partiel")*'Critères et poids'!$G$5/2+(F206="Clair")*'Critères et poids'!$G$6+(F206="Partiel")*'Critères et poids'!$G$6/2+(G206="Clair")*'Critères et poids'!$G$7+(G206="Partiel")*'Critères et poids'!$G$7/2+(H206="Clair")*'Critères et poids'!$G$8+(H206="Partiel")*'Critères et poids'!$G$8/2)</f>
        <v/>
      </c>
      <c r="Q206" s="14">
        <f>IF($B206="","",(I206="Clair")*'Critères et poids'!$G$9+(I206="Partiel")*'Critères et poids'!$G$9/2+(J206="Clair")*'Critères et poids'!$G$10+(J206="Partiel")*'Critères et poids'!$G$10/2+(K206="Clair")*'Critères et poids'!$G$11+(K206="Partiel")*'Critères et poids'!$G$11/2+(L206="Clair")*'Critères et poids'!$G$12+(L206="Partiel")*'Critères et poids'!$G$12/2+(M206="Clair")*'Critères et poids'!$G$13+(M206="Partiel")*'Critères et poids'!$G$13/2)</f>
        <v/>
      </c>
      <c r="R206" s="14">
        <f>IF($B206="","",IFERROR(VLOOKUP(N206,'Critères et poids'!$B$17:$C$20,2,FALSE),0))</f>
        <v/>
      </c>
      <c r="S206" s="9">
        <f>IF($B206="","",MAX(0,P206+Q206+R206))</f>
        <v/>
      </c>
      <c r="T206" s="9">
        <f>IF($B206="","",IF(O206&lt;&gt;"","X",IF(S206&gt;='Critères et poids'!$C$29,"A",IF(S206&gt;='Critères et poids'!$C$30,"B","C"))))</f>
        <v/>
      </c>
      <c r="U206" s="14">
        <f>IF(T206="","",INDEX('Critères et poids'!$D$29:$D$32,MATCH(T206,'Critères et poids'!$A$29:$A$32,0)))</f>
        <v/>
      </c>
      <c r="V206" s="14">
        <f>IF(T206="","",INDEX('Critères et poids'!$F$29:$F$32,MATCH(T206,'Critères et poids'!$A$29:$A$32,0)))</f>
        <v/>
      </c>
      <c r="W206" s="15">
        <f>IF(OR(AH206="",AJ206=""),"",IF(AI206+AJ206*60&lt;=ROUND('Critères et poids'!$C$37*1440,0),INT(AH206)+(AI206+AJ206*60)/1440,WORKDAY(INT(AH206),1+INT((AI206+AJ206*60-ROUND('Critères et poids'!$C$37*1440,0)-1)/(ROUND('Critères et poids'!$C$37*1440,0)-ROUND('Critères et poids'!$C$36*1440,0))))+(ROUND('Critères et poids'!$C$36*1440,0)+AI206+AJ206*60-ROUND('Critères et poids'!$C$37*1440,0)-INT((AI206+AJ206*60-ROUND('Critères et poids'!$C$37*1440,0)-1)/(ROUND('Critères et poids'!$C$37*1440,0)-ROUND('Critères et poids'!$C$36*1440,0)))*(ROUND('Critères et poids'!$C$37*1440,0)-ROUND('Critères et poids'!$C$36*1440,0)))/1440))</f>
        <v/>
      </c>
      <c r="X206" s="16" t="n"/>
      <c r="Y206" s="14">
        <f>IF(W206="","",IF(X206="",IF(NOW()&gt;W206,"En retard","En attente"),IF(X206&lt;=W206,"À temps","En retard")))</f>
        <v/>
      </c>
      <c r="Z206" s="17" t="n"/>
      <c r="AA206" s="14">
        <f>IF($B206="","",IF(OR(T206="X",AD206&lt;&gt;""),0,MAX(0,MIN(Q206,'Critères et poids'!$C$38*INT((TODAY()-IF(Z206&lt;&gt;"",Z206,INT($A206)))/7)))))</f>
        <v/>
      </c>
      <c r="AB206" s="14">
        <f>IF($B206="","",MAX(0,S206-AA206))</f>
        <v/>
      </c>
      <c r="AC206" s="9">
        <f>IF($B206="","",IF(T206="X","X",IF(AB206&gt;='Critères et poids'!$C$29,"A",IF(AB206&gt;='Critères et poids'!$C$30,"B","C"))))</f>
        <v/>
      </c>
      <c r="AD206" s="4" t="n"/>
      <c r="AE206" s="18" t="n"/>
      <c r="AF206" s="6" t="n"/>
      <c r="AH206">
        <f>IF($A206="","",IF(OR(WEEKDAY($A206,2)&gt;5,ROUND(MOD($A206,1)*1440,0)&gt;=ROUND('Critères et poids'!$C$37*1440,0)),WORKDAY(INT($A206),1)+ROUND('Critères et poids'!$C$36*1440,0)/1440,IF(ROUND(MOD($A206,1)*1440,0)&lt;ROUND('Critères et poids'!$C$36*1440,0),INT($A206)+ROUND('Critères et poids'!$C$36*1440,0)/1440,$A206)))</f>
        <v/>
      </c>
      <c r="AI206">
        <f>IF(AH206="","",ROUND(MOD(AH206,1)*1440,0))</f>
        <v/>
      </c>
      <c r="AJ206">
        <f>IF(T206="","",INDEX('Critères et poids'!$E$29:$E$32,MATCH(T206,'Critères et poids'!$A$29:$A$32,0)))</f>
        <v/>
      </c>
    </row>
    <row r="207">
      <c r="A207" s="13" t="n"/>
      <c r="B207" s="6" t="n"/>
      <c r="C207" s="6" t="n"/>
      <c r="D207" s="4" t="n"/>
      <c r="E207" s="4" t="n"/>
      <c r="F207" s="4" t="n"/>
      <c r="G207" s="4" t="n"/>
      <c r="H207" s="4" t="n"/>
      <c r="I207" s="4" t="n"/>
      <c r="J207" s="4" t="n"/>
      <c r="K207" s="4" t="n"/>
      <c r="L207" s="4" t="n"/>
      <c r="M207" s="4" t="n"/>
      <c r="N207" s="6" t="n"/>
      <c r="O207" s="6" t="n"/>
      <c r="P207" s="14">
        <f>IF($B207="","",(E207="Clair")*'Critères et poids'!$G$5+(E207="Partiel")*'Critères et poids'!$G$5/2+(F207="Clair")*'Critères et poids'!$G$6+(F207="Partiel")*'Critères et poids'!$G$6/2+(G207="Clair")*'Critères et poids'!$G$7+(G207="Partiel")*'Critères et poids'!$G$7/2+(H207="Clair")*'Critères et poids'!$G$8+(H207="Partiel")*'Critères et poids'!$G$8/2)</f>
        <v/>
      </c>
      <c r="Q207" s="14">
        <f>IF($B207="","",(I207="Clair")*'Critères et poids'!$G$9+(I207="Partiel")*'Critères et poids'!$G$9/2+(J207="Clair")*'Critères et poids'!$G$10+(J207="Partiel")*'Critères et poids'!$G$10/2+(K207="Clair")*'Critères et poids'!$G$11+(K207="Partiel")*'Critères et poids'!$G$11/2+(L207="Clair")*'Critères et poids'!$G$12+(L207="Partiel")*'Critères et poids'!$G$12/2+(M207="Clair")*'Critères et poids'!$G$13+(M207="Partiel")*'Critères et poids'!$G$13/2)</f>
        <v/>
      </c>
      <c r="R207" s="14">
        <f>IF($B207="","",IFERROR(VLOOKUP(N207,'Critères et poids'!$B$17:$C$20,2,FALSE),0))</f>
        <v/>
      </c>
      <c r="S207" s="9">
        <f>IF($B207="","",MAX(0,P207+Q207+R207))</f>
        <v/>
      </c>
      <c r="T207" s="9">
        <f>IF($B207="","",IF(O207&lt;&gt;"","X",IF(S207&gt;='Critères et poids'!$C$29,"A",IF(S207&gt;='Critères et poids'!$C$30,"B","C"))))</f>
        <v/>
      </c>
      <c r="U207" s="14">
        <f>IF(T207="","",INDEX('Critères et poids'!$D$29:$D$32,MATCH(T207,'Critères et poids'!$A$29:$A$32,0)))</f>
        <v/>
      </c>
      <c r="V207" s="14">
        <f>IF(T207="","",INDEX('Critères et poids'!$F$29:$F$32,MATCH(T207,'Critères et poids'!$A$29:$A$32,0)))</f>
        <v/>
      </c>
      <c r="W207" s="15">
        <f>IF(OR(AH207="",AJ207=""),"",IF(AI207+AJ207*60&lt;=ROUND('Critères et poids'!$C$37*1440,0),INT(AH207)+(AI207+AJ207*60)/1440,WORKDAY(INT(AH207),1+INT((AI207+AJ207*60-ROUND('Critères et poids'!$C$37*1440,0)-1)/(ROUND('Critères et poids'!$C$37*1440,0)-ROUND('Critères et poids'!$C$36*1440,0))))+(ROUND('Critères et poids'!$C$36*1440,0)+AI207+AJ207*60-ROUND('Critères et poids'!$C$37*1440,0)-INT((AI207+AJ207*60-ROUND('Critères et poids'!$C$37*1440,0)-1)/(ROUND('Critères et poids'!$C$37*1440,0)-ROUND('Critères et poids'!$C$36*1440,0)))*(ROUND('Critères et poids'!$C$37*1440,0)-ROUND('Critères et poids'!$C$36*1440,0)))/1440))</f>
        <v/>
      </c>
      <c r="X207" s="16" t="n"/>
      <c r="Y207" s="14">
        <f>IF(W207="","",IF(X207="",IF(NOW()&gt;W207,"En retard","En attente"),IF(X207&lt;=W207,"À temps","En retard")))</f>
        <v/>
      </c>
      <c r="Z207" s="17" t="n"/>
      <c r="AA207" s="14">
        <f>IF($B207="","",IF(OR(T207="X",AD207&lt;&gt;""),0,MAX(0,MIN(Q207,'Critères et poids'!$C$38*INT((TODAY()-IF(Z207&lt;&gt;"",Z207,INT($A207)))/7)))))</f>
        <v/>
      </c>
      <c r="AB207" s="14">
        <f>IF($B207="","",MAX(0,S207-AA207))</f>
        <v/>
      </c>
      <c r="AC207" s="9">
        <f>IF($B207="","",IF(T207="X","X",IF(AB207&gt;='Critères et poids'!$C$29,"A",IF(AB207&gt;='Critères et poids'!$C$30,"B","C"))))</f>
        <v/>
      </c>
      <c r="AD207" s="4" t="n"/>
      <c r="AE207" s="18" t="n"/>
      <c r="AF207" s="6" t="n"/>
      <c r="AH207">
        <f>IF($A207="","",IF(OR(WEEKDAY($A207,2)&gt;5,ROUND(MOD($A207,1)*1440,0)&gt;=ROUND('Critères et poids'!$C$37*1440,0)),WORKDAY(INT($A207),1)+ROUND('Critères et poids'!$C$36*1440,0)/1440,IF(ROUND(MOD($A207,1)*1440,0)&lt;ROUND('Critères et poids'!$C$36*1440,0),INT($A207)+ROUND('Critères et poids'!$C$36*1440,0)/1440,$A207)))</f>
        <v/>
      </c>
      <c r="AI207">
        <f>IF(AH207="","",ROUND(MOD(AH207,1)*1440,0))</f>
        <v/>
      </c>
      <c r="AJ207">
        <f>IF(T207="","",INDEX('Critères et poids'!$E$29:$E$32,MATCH(T207,'Critères et poids'!$A$29:$A$32,0)))</f>
        <v/>
      </c>
    </row>
    <row r="208">
      <c r="A208" s="13" t="n"/>
      <c r="B208" s="6" t="n"/>
      <c r="C208" s="6" t="n"/>
      <c r="D208" s="4" t="n"/>
      <c r="E208" s="4" t="n"/>
      <c r="F208" s="4" t="n"/>
      <c r="G208" s="4" t="n"/>
      <c r="H208" s="4" t="n"/>
      <c r="I208" s="4" t="n"/>
      <c r="J208" s="4" t="n"/>
      <c r="K208" s="4" t="n"/>
      <c r="L208" s="4" t="n"/>
      <c r="M208" s="4" t="n"/>
      <c r="N208" s="6" t="n"/>
      <c r="O208" s="6" t="n"/>
      <c r="P208" s="14">
        <f>IF($B208="","",(E208="Clair")*'Critères et poids'!$G$5+(E208="Partiel")*'Critères et poids'!$G$5/2+(F208="Clair")*'Critères et poids'!$G$6+(F208="Partiel")*'Critères et poids'!$G$6/2+(G208="Clair")*'Critères et poids'!$G$7+(G208="Partiel")*'Critères et poids'!$G$7/2+(H208="Clair")*'Critères et poids'!$G$8+(H208="Partiel")*'Critères et poids'!$G$8/2)</f>
        <v/>
      </c>
      <c r="Q208" s="14">
        <f>IF($B208="","",(I208="Clair")*'Critères et poids'!$G$9+(I208="Partiel")*'Critères et poids'!$G$9/2+(J208="Clair")*'Critères et poids'!$G$10+(J208="Partiel")*'Critères et poids'!$G$10/2+(K208="Clair")*'Critères et poids'!$G$11+(K208="Partiel")*'Critères et poids'!$G$11/2+(L208="Clair")*'Critères et poids'!$G$12+(L208="Partiel")*'Critères et poids'!$G$12/2+(M208="Clair")*'Critères et poids'!$G$13+(M208="Partiel")*'Critères et poids'!$G$13/2)</f>
        <v/>
      </c>
      <c r="R208" s="14">
        <f>IF($B208="","",IFERROR(VLOOKUP(N208,'Critères et poids'!$B$17:$C$20,2,FALSE),0))</f>
        <v/>
      </c>
      <c r="S208" s="9">
        <f>IF($B208="","",MAX(0,P208+Q208+R208))</f>
        <v/>
      </c>
      <c r="T208" s="9">
        <f>IF($B208="","",IF(O208&lt;&gt;"","X",IF(S208&gt;='Critères et poids'!$C$29,"A",IF(S208&gt;='Critères et poids'!$C$30,"B","C"))))</f>
        <v/>
      </c>
      <c r="U208" s="14">
        <f>IF(T208="","",INDEX('Critères et poids'!$D$29:$D$32,MATCH(T208,'Critères et poids'!$A$29:$A$32,0)))</f>
        <v/>
      </c>
      <c r="V208" s="14">
        <f>IF(T208="","",INDEX('Critères et poids'!$F$29:$F$32,MATCH(T208,'Critères et poids'!$A$29:$A$32,0)))</f>
        <v/>
      </c>
      <c r="W208" s="15">
        <f>IF(OR(AH208="",AJ208=""),"",IF(AI208+AJ208*60&lt;=ROUND('Critères et poids'!$C$37*1440,0),INT(AH208)+(AI208+AJ208*60)/1440,WORKDAY(INT(AH208),1+INT((AI208+AJ208*60-ROUND('Critères et poids'!$C$37*1440,0)-1)/(ROUND('Critères et poids'!$C$37*1440,0)-ROUND('Critères et poids'!$C$36*1440,0))))+(ROUND('Critères et poids'!$C$36*1440,0)+AI208+AJ208*60-ROUND('Critères et poids'!$C$37*1440,0)-INT((AI208+AJ208*60-ROUND('Critères et poids'!$C$37*1440,0)-1)/(ROUND('Critères et poids'!$C$37*1440,0)-ROUND('Critères et poids'!$C$36*1440,0)))*(ROUND('Critères et poids'!$C$37*1440,0)-ROUND('Critères et poids'!$C$36*1440,0)))/1440))</f>
        <v/>
      </c>
      <c r="X208" s="16" t="n"/>
      <c r="Y208" s="14">
        <f>IF(W208="","",IF(X208="",IF(NOW()&gt;W208,"En retard","En attente"),IF(X208&lt;=W208,"À temps","En retard")))</f>
        <v/>
      </c>
      <c r="Z208" s="17" t="n"/>
      <c r="AA208" s="14">
        <f>IF($B208="","",IF(OR(T208="X",AD208&lt;&gt;""),0,MAX(0,MIN(Q208,'Critères et poids'!$C$38*INT((TODAY()-IF(Z208&lt;&gt;"",Z208,INT($A208)))/7)))))</f>
        <v/>
      </c>
      <c r="AB208" s="14">
        <f>IF($B208="","",MAX(0,S208-AA208))</f>
        <v/>
      </c>
      <c r="AC208" s="9">
        <f>IF($B208="","",IF(T208="X","X",IF(AB208&gt;='Critères et poids'!$C$29,"A",IF(AB208&gt;='Critères et poids'!$C$30,"B","C"))))</f>
        <v/>
      </c>
      <c r="AD208" s="4" t="n"/>
      <c r="AE208" s="18" t="n"/>
      <c r="AF208" s="6" t="n"/>
      <c r="AH208">
        <f>IF($A208="","",IF(OR(WEEKDAY($A208,2)&gt;5,ROUND(MOD($A208,1)*1440,0)&gt;=ROUND('Critères et poids'!$C$37*1440,0)),WORKDAY(INT($A208),1)+ROUND('Critères et poids'!$C$36*1440,0)/1440,IF(ROUND(MOD($A208,1)*1440,0)&lt;ROUND('Critères et poids'!$C$36*1440,0),INT($A208)+ROUND('Critères et poids'!$C$36*1440,0)/1440,$A208)))</f>
        <v/>
      </c>
      <c r="AI208">
        <f>IF(AH208="","",ROUND(MOD(AH208,1)*1440,0))</f>
        <v/>
      </c>
      <c r="AJ208">
        <f>IF(T208="","",INDEX('Critères et poids'!$E$29:$E$32,MATCH(T208,'Critères et poids'!$A$29:$A$32,0)))</f>
        <v/>
      </c>
    </row>
    <row r="209">
      <c r="A209" s="13" t="n"/>
      <c r="B209" s="6" t="n"/>
      <c r="C209" s="6" t="n"/>
      <c r="D209" s="4" t="n"/>
      <c r="E209" s="4" t="n"/>
      <c r="F209" s="4" t="n"/>
      <c r="G209" s="4" t="n"/>
      <c r="H209" s="4" t="n"/>
      <c r="I209" s="4" t="n"/>
      <c r="J209" s="4" t="n"/>
      <c r="K209" s="4" t="n"/>
      <c r="L209" s="4" t="n"/>
      <c r="M209" s="4" t="n"/>
      <c r="N209" s="6" t="n"/>
      <c r="O209" s="6" t="n"/>
      <c r="P209" s="14">
        <f>IF($B209="","",(E209="Clair")*'Critères et poids'!$G$5+(E209="Partiel")*'Critères et poids'!$G$5/2+(F209="Clair")*'Critères et poids'!$G$6+(F209="Partiel")*'Critères et poids'!$G$6/2+(G209="Clair")*'Critères et poids'!$G$7+(G209="Partiel")*'Critères et poids'!$G$7/2+(H209="Clair")*'Critères et poids'!$G$8+(H209="Partiel")*'Critères et poids'!$G$8/2)</f>
        <v/>
      </c>
      <c r="Q209" s="14">
        <f>IF($B209="","",(I209="Clair")*'Critères et poids'!$G$9+(I209="Partiel")*'Critères et poids'!$G$9/2+(J209="Clair")*'Critères et poids'!$G$10+(J209="Partiel")*'Critères et poids'!$G$10/2+(K209="Clair")*'Critères et poids'!$G$11+(K209="Partiel")*'Critères et poids'!$G$11/2+(L209="Clair")*'Critères et poids'!$G$12+(L209="Partiel")*'Critères et poids'!$G$12/2+(M209="Clair")*'Critères et poids'!$G$13+(M209="Partiel")*'Critères et poids'!$G$13/2)</f>
        <v/>
      </c>
      <c r="R209" s="14">
        <f>IF($B209="","",IFERROR(VLOOKUP(N209,'Critères et poids'!$B$17:$C$20,2,FALSE),0))</f>
        <v/>
      </c>
      <c r="S209" s="9">
        <f>IF($B209="","",MAX(0,P209+Q209+R209))</f>
        <v/>
      </c>
      <c r="T209" s="9">
        <f>IF($B209="","",IF(O209&lt;&gt;"","X",IF(S209&gt;='Critères et poids'!$C$29,"A",IF(S209&gt;='Critères et poids'!$C$30,"B","C"))))</f>
        <v/>
      </c>
      <c r="U209" s="14">
        <f>IF(T209="","",INDEX('Critères et poids'!$D$29:$D$32,MATCH(T209,'Critères et poids'!$A$29:$A$32,0)))</f>
        <v/>
      </c>
      <c r="V209" s="14">
        <f>IF(T209="","",INDEX('Critères et poids'!$F$29:$F$32,MATCH(T209,'Critères et poids'!$A$29:$A$32,0)))</f>
        <v/>
      </c>
      <c r="W209" s="15">
        <f>IF(OR(AH209="",AJ209=""),"",IF(AI209+AJ209*60&lt;=ROUND('Critères et poids'!$C$37*1440,0),INT(AH209)+(AI209+AJ209*60)/1440,WORKDAY(INT(AH209),1+INT((AI209+AJ209*60-ROUND('Critères et poids'!$C$37*1440,0)-1)/(ROUND('Critères et poids'!$C$37*1440,0)-ROUND('Critères et poids'!$C$36*1440,0))))+(ROUND('Critères et poids'!$C$36*1440,0)+AI209+AJ209*60-ROUND('Critères et poids'!$C$37*1440,0)-INT((AI209+AJ209*60-ROUND('Critères et poids'!$C$37*1440,0)-1)/(ROUND('Critères et poids'!$C$37*1440,0)-ROUND('Critères et poids'!$C$36*1440,0)))*(ROUND('Critères et poids'!$C$37*1440,0)-ROUND('Critères et poids'!$C$36*1440,0)))/1440))</f>
        <v/>
      </c>
      <c r="X209" s="16" t="n"/>
      <c r="Y209" s="14">
        <f>IF(W209="","",IF(X209="",IF(NOW()&gt;W209,"En retard","En attente"),IF(X209&lt;=W209,"À temps","En retard")))</f>
        <v/>
      </c>
      <c r="Z209" s="17" t="n"/>
      <c r="AA209" s="14">
        <f>IF($B209="","",IF(OR(T209="X",AD209&lt;&gt;""),0,MAX(0,MIN(Q209,'Critères et poids'!$C$38*INT((TODAY()-IF(Z209&lt;&gt;"",Z209,INT($A209)))/7)))))</f>
        <v/>
      </c>
      <c r="AB209" s="14">
        <f>IF($B209="","",MAX(0,S209-AA209))</f>
        <v/>
      </c>
      <c r="AC209" s="9">
        <f>IF($B209="","",IF(T209="X","X",IF(AB209&gt;='Critères et poids'!$C$29,"A",IF(AB209&gt;='Critères et poids'!$C$30,"B","C"))))</f>
        <v/>
      </c>
      <c r="AD209" s="4" t="n"/>
      <c r="AE209" s="18" t="n"/>
      <c r="AF209" s="6" t="n"/>
      <c r="AH209">
        <f>IF($A209="","",IF(OR(WEEKDAY($A209,2)&gt;5,ROUND(MOD($A209,1)*1440,0)&gt;=ROUND('Critères et poids'!$C$37*1440,0)),WORKDAY(INT($A209),1)+ROUND('Critères et poids'!$C$36*1440,0)/1440,IF(ROUND(MOD($A209,1)*1440,0)&lt;ROUND('Critères et poids'!$C$36*1440,0),INT($A209)+ROUND('Critères et poids'!$C$36*1440,0)/1440,$A209)))</f>
        <v/>
      </c>
      <c r="AI209">
        <f>IF(AH209="","",ROUND(MOD(AH209,1)*1440,0))</f>
        <v/>
      </c>
      <c r="AJ209">
        <f>IF(T209="","",INDEX('Critères et poids'!$E$29:$E$32,MATCH(T209,'Critères et poids'!$A$29:$A$32,0)))</f>
        <v/>
      </c>
    </row>
    <row r="210">
      <c r="A210" s="13" t="n"/>
      <c r="B210" s="6" t="n"/>
      <c r="C210" s="6" t="n"/>
      <c r="D210" s="4" t="n"/>
      <c r="E210" s="4" t="n"/>
      <c r="F210" s="4" t="n"/>
      <c r="G210" s="4" t="n"/>
      <c r="H210" s="4" t="n"/>
      <c r="I210" s="4" t="n"/>
      <c r="J210" s="4" t="n"/>
      <c r="K210" s="4" t="n"/>
      <c r="L210" s="4" t="n"/>
      <c r="M210" s="4" t="n"/>
      <c r="N210" s="6" t="n"/>
      <c r="O210" s="6" t="n"/>
      <c r="P210" s="14">
        <f>IF($B210="","",(E210="Clair")*'Critères et poids'!$G$5+(E210="Partiel")*'Critères et poids'!$G$5/2+(F210="Clair")*'Critères et poids'!$G$6+(F210="Partiel")*'Critères et poids'!$G$6/2+(G210="Clair")*'Critères et poids'!$G$7+(G210="Partiel")*'Critères et poids'!$G$7/2+(H210="Clair")*'Critères et poids'!$G$8+(H210="Partiel")*'Critères et poids'!$G$8/2)</f>
        <v/>
      </c>
      <c r="Q210" s="14">
        <f>IF($B210="","",(I210="Clair")*'Critères et poids'!$G$9+(I210="Partiel")*'Critères et poids'!$G$9/2+(J210="Clair")*'Critères et poids'!$G$10+(J210="Partiel")*'Critères et poids'!$G$10/2+(K210="Clair")*'Critères et poids'!$G$11+(K210="Partiel")*'Critères et poids'!$G$11/2+(L210="Clair")*'Critères et poids'!$G$12+(L210="Partiel")*'Critères et poids'!$G$12/2+(M210="Clair")*'Critères et poids'!$G$13+(M210="Partiel")*'Critères et poids'!$G$13/2)</f>
        <v/>
      </c>
      <c r="R210" s="14">
        <f>IF($B210="","",IFERROR(VLOOKUP(N210,'Critères et poids'!$B$17:$C$20,2,FALSE),0))</f>
        <v/>
      </c>
      <c r="S210" s="9">
        <f>IF($B210="","",MAX(0,P210+Q210+R210))</f>
        <v/>
      </c>
      <c r="T210" s="9">
        <f>IF($B210="","",IF(O210&lt;&gt;"","X",IF(S210&gt;='Critères et poids'!$C$29,"A",IF(S210&gt;='Critères et poids'!$C$30,"B","C"))))</f>
        <v/>
      </c>
      <c r="U210" s="14">
        <f>IF(T210="","",INDEX('Critères et poids'!$D$29:$D$32,MATCH(T210,'Critères et poids'!$A$29:$A$32,0)))</f>
        <v/>
      </c>
      <c r="V210" s="14">
        <f>IF(T210="","",INDEX('Critères et poids'!$F$29:$F$32,MATCH(T210,'Critères et poids'!$A$29:$A$32,0)))</f>
        <v/>
      </c>
      <c r="W210" s="15">
        <f>IF(OR(AH210="",AJ210=""),"",IF(AI210+AJ210*60&lt;=ROUND('Critères et poids'!$C$37*1440,0),INT(AH210)+(AI210+AJ210*60)/1440,WORKDAY(INT(AH210),1+INT((AI210+AJ210*60-ROUND('Critères et poids'!$C$37*1440,0)-1)/(ROUND('Critères et poids'!$C$37*1440,0)-ROUND('Critères et poids'!$C$36*1440,0))))+(ROUND('Critères et poids'!$C$36*1440,0)+AI210+AJ210*60-ROUND('Critères et poids'!$C$37*1440,0)-INT((AI210+AJ210*60-ROUND('Critères et poids'!$C$37*1440,0)-1)/(ROUND('Critères et poids'!$C$37*1440,0)-ROUND('Critères et poids'!$C$36*1440,0)))*(ROUND('Critères et poids'!$C$37*1440,0)-ROUND('Critères et poids'!$C$36*1440,0)))/1440))</f>
        <v/>
      </c>
      <c r="X210" s="16" t="n"/>
      <c r="Y210" s="14">
        <f>IF(W210="","",IF(X210="",IF(NOW()&gt;W210,"En retard","En attente"),IF(X210&lt;=W210,"À temps","En retard")))</f>
        <v/>
      </c>
      <c r="Z210" s="17" t="n"/>
      <c r="AA210" s="14">
        <f>IF($B210="","",IF(OR(T210="X",AD210&lt;&gt;""),0,MAX(0,MIN(Q210,'Critères et poids'!$C$38*INT((TODAY()-IF(Z210&lt;&gt;"",Z210,INT($A210)))/7)))))</f>
        <v/>
      </c>
      <c r="AB210" s="14">
        <f>IF($B210="","",MAX(0,S210-AA210))</f>
        <v/>
      </c>
      <c r="AC210" s="9">
        <f>IF($B210="","",IF(T210="X","X",IF(AB210&gt;='Critères et poids'!$C$29,"A",IF(AB210&gt;='Critères et poids'!$C$30,"B","C"))))</f>
        <v/>
      </c>
      <c r="AD210" s="4" t="n"/>
      <c r="AE210" s="18" t="n"/>
      <c r="AF210" s="6" t="n"/>
      <c r="AH210">
        <f>IF($A210="","",IF(OR(WEEKDAY($A210,2)&gt;5,ROUND(MOD($A210,1)*1440,0)&gt;=ROUND('Critères et poids'!$C$37*1440,0)),WORKDAY(INT($A210),1)+ROUND('Critères et poids'!$C$36*1440,0)/1440,IF(ROUND(MOD($A210,1)*1440,0)&lt;ROUND('Critères et poids'!$C$36*1440,0),INT($A210)+ROUND('Critères et poids'!$C$36*1440,0)/1440,$A210)))</f>
        <v/>
      </c>
      <c r="AI210">
        <f>IF(AH210="","",ROUND(MOD(AH210,1)*1440,0))</f>
        <v/>
      </c>
      <c r="AJ210">
        <f>IF(T210="","",INDEX('Critères et poids'!$E$29:$E$32,MATCH(T210,'Critères et poids'!$A$29:$A$32,0)))</f>
        <v/>
      </c>
    </row>
    <row r="211">
      <c r="A211" s="13" t="n"/>
      <c r="B211" s="6" t="n"/>
      <c r="C211" s="6" t="n"/>
      <c r="D211" s="4" t="n"/>
      <c r="E211" s="4" t="n"/>
      <c r="F211" s="4" t="n"/>
      <c r="G211" s="4" t="n"/>
      <c r="H211" s="4" t="n"/>
      <c r="I211" s="4" t="n"/>
      <c r="J211" s="4" t="n"/>
      <c r="K211" s="4" t="n"/>
      <c r="L211" s="4" t="n"/>
      <c r="M211" s="4" t="n"/>
      <c r="N211" s="6" t="n"/>
      <c r="O211" s="6" t="n"/>
      <c r="P211" s="14">
        <f>IF($B211="","",(E211="Clair")*'Critères et poids'!$G$5+(E211="Partiel")*'Critères et poids'!$G$5/2+(F211="Clair")*'Critères et poids'!$G$6+(F211="Partiel")*'Critères et poids'!$G$6/2+(G211="Clair")*'Critères et poids'!$G$7+(G211="Partiel")*'Critères et poids'!$G$7/2+(H211="Clair")*'Critères et poids'!$G$8+(H211="Partiel")*'Critères et poids'!$G$8/2)</f>
        <v/>
      </c>
      <c r="Q211" s="14">
        <f>IF($B211="","",(I211="Clair")*'Critères et poids'!$G$9+(I211="Partiel")*'Critères et poids'!$G$9/2+(J211="Clair")*'Critères et poids'!$G$10+(J211="Partiel")*'Critères et poids'!$G$10/2+(K211="Clair")*'Critères et poids'!$G$11+(K211="Partiel")*'Critères et poids'!$G$11/2+(L211="Clair")*'Critères et poids'!$G$12+(L211="Partiel")*'Critères et poids'!$G$12/2+(M211="Clair")*'Critères et poids'!$G$13+(M211="Partiel")*'Critères et poids'!$G$13/2)</f>
        <v/>
      </c>
      <c r="R211" s="14">
        <f>IF($B211="","",IFERROR(VLOOKUP(N211,'Critères et poids'!$B$17:$C$20,2,FALSE),0))</f>
        <v/>
      </c>
      <c r="S211" s="9">
        <f>IF($B211="","",MAX(0,P211+Q211+R211))</f>
        <v/>
      </c>
      <c r="T211" s="9">
        <f>IF($B211="","",IF(O211&lt;&gt;"","X",IF(S211&gt;='Critères et poids'!$C$29,"A",IF(S211&gt;='Critères et poids'!$C$30,"B","C"))))</f>
        <v/>
      </c>
      <c r="U211" s="14">
        <f>IF(T211="","",INDEX('Critères et poids'!$D$29:$D$32,MATCH(T211,'Critères et poids'!$A$29:$A$32,0)))</f>
        <v/>
      </c>
      <c r="V211" s="14">
        <f>IF(T211="","",INDEX('Critères et poids'!$F$29:$F$32,MATCH(T211,'Critères et poids'!$A$29:$A$32,0)))</f>
        <v/>
      </c>
      <c r="W211" s="15">
        <f>IF(OR(AH211="",AJ211=""),"",IF(AI211+AJ211*60&lt;=ROUND('Critères et poids'!$C$37*1440,0),INT(AH211)+(AI211+AJ211*60)/1440,WORKDAY(INT(AH211),1+INT((AI211+AJ211*60-ROUND('Critères et poids'!$C$37*1440,0)-1)/(ROUND('Critères et poids'!$C$37*1440,0)-ROUND('Critères et poids'!$C$36*1440,0))))+(ROUND('Critères et poids'!$C$36*1440,0)+AI211+AJ211*60-ROUND('Critères et poids'!$C$37*1440,0)-INT((AI211+AJ211*60-ROUND('Critères et poids'!$C$37*1440,0)-1)/(ROUND('Critères et poids'!$C$37*1440,0)-ROUND('Critères et poids'!$C$36*1440,0)))*(ROUND('Critères et poids'!$C$37*1440,0)-ROUND('Critères et poids'!$C$36*1440,0)))/1440))</f>
        <v/>
      </c>
      <c r="X211" s="16" t="n"/>
      <c r="Y211" s="14">
        <f>IF(W211="","",IF(X211="",IF(NOW()&gt;W211,"En retard","En attente"),IF(X211&lt;=W211,"À temps","En retard")))</f>
        <v/>
      </c>
      <c r="Z211" s="17" t="n"/>
      <c r="AA211" s="14">
        <f>IF($B211="","",IF(OR(T211="X",AD211&lt;&gt;""),0,MAX(0,MIN(Q211,'Critères et poids'!$C$38*INT((TODAY()-IF(Z211&lt;&gt;"",Z211,INT($A211)))/7)))))</f>
        <v/>
      </c>
      <c r="AB211" s="14">
        <f>IF($B211="","",MAX(0,S211-AA211))</f>
        <v/>
      </c>
      <c r="AC211" s="9">
        <f>IF($B211="","",IF(T211="X","X",IF(AB211&gt;='Critères et poids'!$C$29,"A",IF(AB211&gt;='Critères et poids'!$C$30,"B","C"))))</f>
        <v/>
      </c>
      <c r="AD211" s="4" t="n"/>
      <c r="AE211" s="18" t="n"/>
      <c r="AF211" s="6" t="n"/>
      <c r="AH211">
        <f>IF($A211="","",IF(OR(WEEKDAY($A211,2)&gt;5,ROUND(MOD($A211,1)*1440,0)&gt;=ROUND('Critères et poids'!$C$37*1440,0)),WORKDAY(INT($A211),1)+ROUND('Critères et poids'!$C$36*1440,0)/1440,IF(ROUND(MOD($A211,1)*1440,0)&lt;ROUND('Critères et poids'!$C$36*1440,0),INT($A211)+ROUND('Critères et poids'!$C$36*1440,0)/1440,$A211)))</f>
        <v/>
      </c>
      <c r="AI211">
        <f>IF(AH211="","",ROUND(MOD(AH211,1)*1440,0))</f>
        <v/>
      </c>
      <c r="AJ211">
        <f>IF(T211="","",INDEX('Critères et poids'!$E$29:$E$32,MATCH(T211,'Critères et poids'!$A$29:$A$32,0)))</f>
        <v/>
      </c>
    </row>
  </sheetData>
  <autoFilter ref="A4:AF211"/>
  <conditionalFormatting sqref="E5:M211">
    <cfRule type="expression" priority="1" dxfId="0">
      <formula>E5="Clair"</formula>
    </cfRule>
    <cfRule type="expression" priority="2" dxfId="3">
      <formula>E5="Partiel"</formula>
    </cfRule>
  </conditionalFormatting>
  <conditionalFormatting sqref="T5:T211">
    <cfRule type="expression" priority="3" dxfId="0">
      <formula>$T5="A"</formula>
    </cfRule>
    <cfRule type="expression" priority="4" dxfId="2">
      <formula>$T5="B"</formula>
    </cfRule>
    <cfRule type="expression" priority="5" dxfId="3">
      <formula>$T5="C"</formula>
    </cfRule>
    <cfRule type="expression" priority="6" dxfId="1">
      <formula>$T5="X"</formula>
    </cfRule>
  </conditionalFormatting>
  <conditionalFormatting sqref="AC5:AC211">
    <cfRule type="expression" priority="7" dxfId="0">
      <formula>$AC5="A"</formula>
    </cfRule>
    <cfRule type="expression" priority="8" dxfId="2">
      <formula>$AC5="B"</formula>
    </cfRule>
    <cfRule type="expression" priority="9" dxfId="3">
      <formula>$AC5="C"</formula>
    </cfRule>
    <cfRule type="expression" priority="10" dxfId="1">
      <formula>$AC5="X"</formula>
    </cfRule>
  </conditionalFormatting>
  <conditionalFormatting sqref="Y5:Y211">
    <cfRule type="expression" priority="11" dxfId="0">
      <formula>$Y5="À temps"</formula>
    </cfRule>
    <cfRule type="expression" priority="12" dxfId="1">
      <formula>$Y5="En retard"</formula>
    </cfRule>
    <cfRule type="expression" priority="13" dxfId="3">
      <formula>$Y5="En attente"</formula>
    </cfRule>
  </conditionalFormatting>
  <conditionalFormatting sqref="AD5:AD211">
    <cfRule type="expression" priority="14" dxfId="0">
      <formula>$AD5="Gagné"</formula>
    </cfRule>
    <cfRule type="expression" priority="15" dxfId="1">
      <formula>$AD5="Perdu"</formula>
    </cfRule>
  </conditionalFormatting>
  <dataValidations count="5">
    <dataValidation sqref="E5:M211" showDropDown="0" showInputMessage="0" showErrorMessage="1" allowBlank="1" type="list">
      <formula1>=$AL$5:$AL$7</formula1>
    </dataValidation>
    <dataValidation sqref="D5:D211" showDropDown="0" showInputMessage="0" showErrorMessage="0" allowBlank="1" type="list">
      <formula1>=$AM$5:$AM$9</formula1>
    </dataValidation>
    <dataValidation sqref="AD5:AD211" showDropDown="0" showInputMessage="0" showErrorMessage="1" allowBlank="1" type="list">
      <formula1>=$AN$5:$AN$6</formula1>
    </dataValidation>
    <dataValidation sqref="N5:N211" showDropDown="0" showInputMessage="0" showErrorMessage="1" allowBlank="1" type="list">
      <formula1>='Critères et poids'!$B$17:$B$20</formula1>
    </dataValidation>
    <dataValidation sqref="O5:O211" showDropDown="0" showInputMessage="0" showErrorMessage="1" allowBlank="1" type="list">
      <formula1>='Critères et poids'!$B$23:$B$26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0"/>
  <sheetViews>
    <sheetView rightToLeft="0" workbookViewId="0">
      <selection activeCell="A1" sqref="A1"/>
    </sheetView>
  </sheetViews>
  <sheetFormatPr baseColWidth="8" defaultRowHeight="15"/>
  <cols>
    <col width="8" customWidth="1" min="1" max="1"/>
    <col width="22" customWidth="1" min="2" max="2"/>
    <col width="9" customWidth="1" min="3" max="3"/>
    <col width="16" customWidth="1" min="4" max="4"/>
    <col width="16" customWidth="1" min="5" max="5"/>
    <col width="12" customWidth="1" min="6" max="6"/>
    <col width="18" customWidth="1" min="7" max="7"/>
  </cols>
  <sheetData>
    <row r="1">
      <c r="A1" s="1" t="inlineStr">
        <is>
          <t>Calibrage : le score prédit-il les ventes ?</t>
        </is>
      </c>
    </row>
    <row r="2">
      <c r="A2" s="2" t="inlineStr">
        <is>
          <t>À faire le premier lundi de chaque mois. Marquez les leads Gagné ou Perdu dans Scores des leads quand ils sont clos. La catégorie indiquée ici est celle de la première notation, avant décroissance.</t>
        </is>
      </c>
    </row>
    <row r="4" ht="32" customHeight="1">
      <c r="A4" s="3" t="inlineStr">
        <is>
          <t>Catégorie</t>
        </is>
      </c>
      <c r="B4" s="3" t="inlineStr">
        <is>
          <t>Leads</t>
        </is>
      </c>
      <c r="C4" s="3" t="inlineStr">
        <is>
          <t>Gagnés</t>
        </is>
      </c>
      <c r="D4" s="3" t="inlineStr">
        <is>
          <t>Perdus</t>
        </is>
      </c>
      <c r="E4" s="3" t="inlineStr">
        <is>
          <t>Ouverts</t>
        </is>
      </c>
      <c r="F4" s="3" t="inlineStr">
        <is>
          <t>Taux de réussite</t>
        </is>
      </c>
      <c r="G4" s="3" t="inlineStr">
        <is>
          <t>Réponse à temps</t>
        </is>
      </c>
    </row>
    <row r="5">
      <c r="A5" s="7" t="inlineStr">
        <is>
          <t>A</t>
        </is>
      </c>
      <c r="B5" s="14">
        <f>COUNTIF('Scores des leads'!$T$5:$T$211,A5)</f>
        <v/>
      </c>
      <c r="C5" s="14">
        <f>COUNTIFS('Scores des leads'!$T$5:$T$211,A5,'Scores des leads'!$AD$5:$AD$211,"Gagné")</f>
        <v/>
      </c>
      <c r="D5" s="14">
        <f>COUNTIFS('Scores des leads'!$T$5:$T$211,A5,'Scores des leads'!$AD$5:$AD$211,"Perdu")</f>
        <v/>
      </c>
      <c r="E5" s="14">
        <f>B5-C5-D5</f>
        <v/>
      </c>
      <c r="F5" s="20">
        <f>IF(C5+D5=0,"",C5/(C5+D5))</f>
        <v/>
      </c>
      <c r="G5" s="21">
        <f>IF(COUNTIFS('Scores des leads'!$T$5:$T$211,A5,'Scores des leads'!$Y$5:$Y$211,"À temps")+COUNTIFS('Scores des leads'!$T$5:$T$211,A5,'Scores des leads'!$Y$5:$Y$211,"En retard")=0,"",COUNTIFS('Scores des leads'!$T$5:$T$211,A5,'Scores des leads'!$Y$5:$Y$211,"À temps")/(COUNTIFS('Scores des leads'!$T$5:$T$211,A5,'Scores des leads'!$Y$5:$Y$211,"À temps")+COUNTIFS('Scores des leads'!$T$5:$T$211,A5,'Scores des leads'!$Y$5:$Y$211,"En retard")))</f>
        <v/>
      </c>
    </row>
    <row r="6">
      <c r="A6" s="7" t="inlineStr">
        <is>
          <t>B</t>
        </is>
      </c>
      <c r="B6" s="14">
        <f>COUNTIF('Scores des leads'!$T$5:$T$211,A6)</f>
        <v/>
      </c>
      <c r="C6" s="14">
        <f>COUNTIFS('Scores des leads'!$T$5:$T$211,A6,'Scores des leads'!$AD$5:$AD$211,"Gagné")</f>
        <v/>
      </c>
      <c r="D6" s="14">
        <f>COUNTIFS('Scores des leads'!$T$5:$T$211,A6,'Scores des leads'!$AD$5:$AD$211,"Perdu")</f>
        <v/>
      </c>
      <c r="E6" s="14">
        <f>B6-C6-D6</f>
        <v/>
      </c>
      <c r="F6" s="20">
        <f>IF(C6+D6=0,"",C6/(C6+D6))</f>
        <v/>
      </c>
      <c r="G6" s="21">
        <f>IF(COUNTIFS('Scores des leads'!$T$5:$T$211,A6,'Scores des leads'!$Y$5:$Y$211,"À temps")+COUNTIFS('Scores des leads'!$T$5:$T$211,A6,'Scores des leads'!$Y$5:$Y$211,"En retard")=0,"",COUNTIFS('Scores des leads'!$T$5:$T$211,A6,'Scores des leads'!$Y$5:$Y$211,"À temps")/(COUNTIFS('Scores des leads'!$T$5:$T$211,A6,'Scores des leads'!$Y$5:$Y$211,"À temps")+COUNTIFS('Scores des leads'!$T$5:$T$211,A6,'Scores des leads'!$Y$5:$Y$211,"En retard")))</f>
        <v/>
      </c>
    </row>
    <row r="7">
      <c r="A7" s="7" t="inlineStr">
        <is>
          <t>C</t>
        </is>
      </c>
      <c r="B7" s="14">
        <f>COUNTIF('Scores des leads'!$T$5:$T$211,A7)</f>
        <v/>
      </c>
      <c r="C7" s="14">
        <f>COUNTIFS('Scores des leads'!$T$5:$T$211,A7,'Scores des leads'!$AD$5:$AD$211,"Gagné")</f>
        <v/>
      </c>
      <c r="D7" s="14">
        <f>COUNTIFS('Scores des leads'!$T$5:$T$211,A7,'Scores des leads'!$AD$5:$AD$211,"Perdu")</f>
        <v/>
      </c>
      <c r="E7" s="14">
        <f>B7-C7-D7</f>
        <v/>
      </c>
      <c r="F7" s="20">
        <f>IF(C7+D7=0,"",C7/(C7+D7))</f>
        <v/>
      </c>
      <c r="G7" s="21">
        <f>IF(COUNTIFS('Scores des leads'!$T$5:$T$211,A7,'Scores des leads'!$Y$5:$Y$211,"À temps")+COUNTIFS('Scores des leads'!$T$5:$T$211,A7,'Scores des leads'!$Y$5:$Y$211,"En retard")=0,"",COUNTIFS('Scores des leads'!$T$5:$T$211,A7,'Scores des leads'!$Y$5:$Y$211,"À temps")/(COUNTIFS('Scores des leads'!$T$5:$T$211,A7,'Scores des leads'!$Y$5:$Y$211,"À temps")+COUNTIFS('Scores des leads'!$T$5:$T$211,A7,'Scores des leads'!$Y$5:$Y$211,"En retard")))</f>
        <v/>
      </c>
    </row>
    <row r="8">
      <c r="A8" s="7" t="inlineStr">
        <is>
          <t>X</t>
        </is>
      </c>
      <c r="B8" s="14">
        <f>COUNTIF('Scores des leads'!$T$5:$T$211,A8)</f>
        <v/>
      </c>
      <c r="C8" s="14" t="n"/>
      <c r="D8" s="14" t="n"/>
      <c r="E8" s="14" t="n"/>
      <c r="F8" s="20" t="n"/>
      <c r="G8" s="21">
        <f>IF(COUNTIFS('Scores des leads'!$T$5:$T$211,A8,'Scores des leads'!$Y$5:$Y$211,"À temps")+COUNTIFS('Scores des leads'!$T$5:$T$211,A8,'Scores des leads'!$Y$5:$Y$211,"En retard")=0,"",COUNTIFS('Scores des leads'!$T$5:$T$211,A8,'Scores des leads'!$Y$5:$Y$211,"À temps")/(COUNTIFS('Scores des leads'!$T$5:$T$211,A8,'Scores des leads'!$Y$5:$Y$211,"À temps")+COUNTIFS('Scores des leads'!$T$5:$T$211,A8,'Scores des leads'!$Y$5:$Y$211,"En retard")))</f>
        <v/>
      </c>
    </row>
    <row r="10">
      <c r="A10" s="22" t="inlineStr">
        <is>
          <t>Vérification du modèle</t>
        </is>
      </c>
    </row>
    <row r="11">
      <c r="A11" s="6" t="inlineStr">
        <is>
          <t>Leads clos (gagnés ou perdus)</t>
        </is>
      </c>
      <c r="B11" s="23" t="n"/>
      <c r="C11" s="23" t="n"/>
      <c r="D11" s="24" t="n"/>
      <c r="E11" s="25">
        <f>SUM(C5:D7)</f>
        <v/>
      </c>
      <c r="F11" s="24" t="n"/>
    </row>
    <row r="12">
      <c r="A12" s="6" t="inlineStr">
        <is>
          <t>Leads clos nécessaires</t>
        </is>
      </c>
      <c r="B12" s="23" t="n"/>
      <c r="C12" s="23" t="n"/>
      <c r="D12" s="24" t="n"/>
      <c r="E12" s="25">
        <f>'Critères et poids'!$C$39</f>
        <v/>
      </c>
      <c r="F12" s="24" t="n"/>
    </row>
    <row r="13">
      <c r="A13" s="5" t="inlineStr">
        <is>
          <t>A gagne plus souvent que B, et B plus souvent que C</t>
        </is>
      </c>
      <c r="B13" s="23" t="n"/>
      <c r="C13" s="23" t="n"/>
      <c r="D13" s="24" t="n"/>
      <c r="E13" s="25">
        <f>IF(E11&lt;E12,"Données insuffisantes",IF(AND(F5&gt;F6,F6&gt;F7),"Le score prédit les ventes","À recalibrer"))</f>
        <v/>
      </c>
      <c r="F13" s="24" t="n"/>
    </row>
    <row r="15">
      <c r="A15" s="22" t="inlineStr">
        <is>
          <t>Vérification des critères</t>
        </is>
      </c>
    </row>
    <row r="16" ht="44" customHeight="1">
      <c r="A16" s="3" t="inlineStr">
        <is>
          <t>N°</t>
        </is>
      </c>
      <c r="B16" s="3" t="inlineStr">
        <is>
          <t>Critère</t>
        </is>
      </c>
      <c r="C16" s="3" t="inlineStr">
        <is>
          <t>Poids</t>
        </is>
      </c>
      <c r="D16" s="3" t="inlineStr">
        <is>
          <t>Leads gagnés : part des points</t>
        </is>
      </c>
      <c r="E16" s="3" t="inlineStr">
        <is>
          <t>Leads perdus : part des points</t>
        </is>
      </c>
      <c r="F16" s="3" t="inlineStr">
        <is>
          <t>Écart</t>
        </is>
      </c>
      <c r="G16" s="3" t="inlineStr">
        <is>
          <t>Suggestion</t>
        </is>
      </c>
    </row>
    <row r="17">
      <c r="A17" s="4" t="n">
        <v>1</v>
      </c>
      <c r="B17" s="8">
        <f>'Critères et poids'!B5</f>
        <v/>
      </c>
      <c r="C17" s="14">
        <f>'Critères et poids'!$G$5</f>
        <v/>
      </c>
      <c r="D17" s="21">
        <f>IF(COUNTIF('Scores des leads'!$AD$5:$AD$211,"Gagné")=0,"",(COUNTIFS('Scores des leads'!$E$5:$E$211,"Clair",'Scores des leads'!$AD$5:$AD$211,"Gagné")+COUNTIFS('Scores des leads'!$E$5:$E$211,"Partiel",'Scores des leads'!$AD$5:$AD$211,"Gagné")/2)/COUNTIF('Scores des leads'!$AD$5:$AD$211,"Gagné"))</f>
        <v/>
      </c>
      <c r="E17" s="21">
        <f>IF(COUNTIF('Scores des leads'!$AD$5:$AD$211,"Perdu")=0,"",(COUNTIFS('Scores des leads'!$E$5:$E$211,"Clair",'Scores des leads'!$AD$5:$AD$211,"Perdu")+COUNTIFS('Scores des leads'!$E$5:$E$211,"Partiel",'Scores des leads'!$AD$5:$AD$211,"Perdu")/2)/COUNTIF('Scores des leads'!$AD$5:$AD$211,"Perdu"))</f>
        <v/>
      </c>
      <c r="F17" s="20">
        <f>IF(OR(D17="",E17=""),"",D17-E17)</f>
        <v/>
      </c>
      <c r="G17" s="9">
        <f>IF(OR(F17="",$E$11&lt;$E$12),"Données insuffisantes",IF(F17&gt;='Critères et poids'!$C$40,"Augmenter le poids",IF(F17&lt;'Critères et poids'!$C$41,"Baisser le poids","Garder")))</f>
        <v/>
      </c>
    </row>
    <row r="18">
      <c r="A18" s="4" t="n">
        <v>2</v>
      </c>
      <c r="B18" s="8">
        <f>'Critères et poids'!B6</f>
        <v/>
      </c>
      <c r="C18" s="14">
        <f>'Critères et poids'!$G$6</f>
        <v/>
      </c>
      <c r="D18" s="21">
        <f>IF(COUNTIF('Scores des leads'!$AD$5:$AD$211,"Gagné")=0,"",(COUNTIFS('Scores des leads'!$F$5:$F$211,"Clair",'Scores des leads'!$AD$5:$AD$211,"Gagné")+COUNTIFS('Scores des leads'!$F$5:$F$211,"Partiel",'Scores des leads'!$AD$5:$AD$211,"Gagné")/2)/COUNTIF('Scores des leads'!$AD$5:$AD$211,"Gagné"))</f>
        <v/>
      </c>
      <c r="E18" s="21">
        <f>IF(COUNTIF('Scores des leads'!$AD$5:$AD$211,"Perdu")=0,"",(COUNTIFS('Scores des leads'!$F$5:$F$211,"Clair",'Scores des leads'!$AD$5:$AD$211,"Perdu")+COUNTIFS('Scores des leads'!$F$5:$F$211,"Partiel",'Scores des leads'!$AD$5:$AD$211,"Perdu")/2)/COUNTIF('Scores des leads'!$AD$5:$AD$211,"Perdu"))</f>
        <v/>
      </c>
      <c r="F18" s="20">
        <f>IF(OR(D18="",E18=""),"",D18-E18)</f>
        <v/>
      </c>
      <c r="G18" s="9">
        <f>IF(OR(F18="",$E$11&lt;$E$12),"Données insuffisantes",IF(F18&gt;='Critères et poids'!$C$40,"Augmenter le poids",IF(F18&lt;'Critères et poids'!$C$41,"Baisser le poids","Garder")))</f>
        <v/>
      </c>
    </row>
    <row r="19">
      <c r="A19" s="4" t="n">
        <v>3</v>
      </c>
      <c r="B19" s="8">
        <f>'Critères et poids'!B7</f>
        <v/>
      </c>
      <c r="C19" s="14">
        <f>'Critères et poids'!$G$7</f>
        <v/>
      </c>
      <c r="D19" s="21">
        <f>IF(COUNTIF('Scores des leads'!$AD$5:$AD$211,"Gagné")=0,"",(COUNTIFS('Scores des leads'!$G$5:$G$211,"Clair",'Scores des leads'!$AD$5:$AD$211,"Gagné")+COUNTIFS('Scores des leads'!$G$5:$G$211,"Partiel",'Scores des leads'!$AD$5:$AD$211,"Gagné")/2)/COUNTIF('Scores des leads'!$AD$5:$AD$211,"Gagné"))</f>
        <v/>
      </c>
      <c r="E19" s="21">
        <f>IF(COUNTIF('Scores des leads'!$AD$5:$AD$211,"Perdu")=0,"",(COUNTIFS('Scores des leads'!$G$5:$G$211,"Clair",'Scores des leads'!$AD$5:$AD$211,"Perdu")+COUNTIFS('Scores des leads'!$G$5:$G$211,"Partiel",'Scores des leads'!$AD$5:$AD$211,"Perdu")/2)/COUNTIF('Scores des leads'!$AD$5:$AD$211,"Perdu"))</f>
        <v/>
      </c>
      <c r="F19" s="20">
        <f>IF(OR(D19="",E19=""),"",D19-E19)</f>
        <v/>
      </c>
      <c r="G19" s="9">
        <f>IF(OR(F19="",$E$11&lt;$E$12),"Données insuffisantes",IF(F19&gt;='Critères et poids'!$C$40,"Augmenter le poids",IF(F19&lt;'Critères et poids'!$C$41,"Baisser le poids","Garder")))</f>
        <v/>
      </c>
    </row>
    <row r="20">
      <c r="A20" s="4" t="n">
        <v>4</v>
      </c>
      <c r="B20" s="8">
        <f>'Critères et poids'!B8</f>
        <v/>
      </c>
      <c r="C20" s="14">
        <f>'Critères et poids'!$G$8</f>
        <v/>
      </c>
      <c r="D20" s="21">
        <f>IF(COUNTIF('Scores des leads'!$AD$5:$AD$211,"Gagné")=0,"",(COUNTIFS('Scores des leads'!$H$5:$H$211,"Clair",'Scores des leads'!$AD$5:$AD$211,"Gagné")+COUNTIFS('Scores des leads'!$H$5:$H$211,"Partiel",'Scores des leads'!$AD$5:$AD$211,"Gagné")/2)/COUNTIF('Scores des leads'!$AD$5:$AD$211,"Gagné"))</f>
        <v/>
      </c>
      <c r="E20" s="21">
        <f>IF(COUNTIF('Scores des leads'!$AD$5:$AD$211,"Perdu")=0,"",(COUNTIFS('Scores des leads'!$H$5:$H$211,"Clair",'Scores des leads'!$AD$5:$AD$211,"Perdu")+COUNTIFS('Scores des leads'!$H$5:$H$211,"Partiel",'Scores des leads'!$AD$5:$AD$211,"Perdu")/2)/COUNTIF('Scores des leads'!$AD$5:$AD$211,"Perdu"))</f>
        <v/>
      </c>
      <c r="F20" s="20">
        <f>IF(OR(D20="",E20=""),"",D20-E20)</f>
        <v/>
      </c>
      <c r="G20" s="9">
        <f>IF(OR(F20="",$E$11&lt;$E$12),"Données insuffisantes",IF(F20&gt;='Critères et poids'!$C$40,"Augmenter le poids",IF(F20&lt;'Critères et poids'!$C$41,"Baisser le poids","Garder")))</f>
        <v/>
      </c>
    </row>
    <row r="21">
      <c r="A21" s="4" t="n">
        <v>5</v>
      </c>
      <c r="B21" s="8">
        <f>'Critères et poids'!B9</f>
        <v/>
      </c>
      <c r="C21" s="14">
        <f>'Critères et poids'!$G$9</f>
        <v/>
      </c>
      <c r="D21" s="21">
        <f>IF(COUNTIF('Scores des leads'!$AD$5:$AD$211,"Gagné")=0,"",(COUNTIFS('Scores des leads'!$I$5:$I$211,"Clair",'Scores des leads'!$AD$5:$AD$211,"Gagné")+COUNTIFS('Scores des leads'!$I$5:$I$211,"Partiel",'Scores des leads'!$AD$5:$AD$211,"Gagné")/2)/COUNTIF('Scores des leads'!$AD$5:$AD$211,"Gagné"))</f>
        <v/>
      </c>
      <c r="E21" s="21">
        <f>IF(COUNTIF('Scores des leads'!$AD$5:$AD$211,"Perdu")=0,"",(COUNTIFS('Scores des leads'!$I$5:$I$211,"Clair",'Scores des leads'!$AD$5:$AD$211,"Perdu")+COUNTIFS('Scores des leads'!$I$5:$I$211,"Partiel",'Scores des leads'!$AD$5:$AD$211,"Perdu")/2)/COUNTIF('Scores des leads'!$AD$5:$AD$211,"Perdu"))</f>
        <v/>
      </c>
      <c r="F21" s="20">
        <f>IF(OR(D21="",E21=""),"",D21-E21)</f>
        <v/>
      </c>
      <c r="G21" s="9">
        <f>IF(OR(F21="",$E$11&lt;$E$12),"Données insuffisantes",IF(F21&gt;='Critères et poids'!$C$40,"Augmenter le poids",IF(F21&lt;'Critères et poids'!$C$41,"Baisser le poids","Garder")))</f>
        <v/>
      </c>
    </row>
    <row r="22">
      <c r="A22" s="4" t="n">
        <v>6</v>
      </c>
      <c r="B22" s="8">
        <f>'Critères et poids'!B10</f>
        <v/>
      </c>
      <c r="C22" s="14">
        <f>'Critères et poids'!$G$10</f>
        <v/>
      </c>
      <c r="D22" s="21">
        <f>IF(COUNTIF('Scores des leads'!$AD$5:$AD$211,"Gagné")=0,"",(COUNTIFS('Scores des leads'!$J$5:$J$211,"Clair",'Scores des leads'!$AD$5:$AD$211,"Gagné")+COUNTIFS('Scores des leads'!$J$5:$J$211,"Partiel",'Scores des leads'!$AD$5:$AD$211,"Gagné")/2)/COUNTIF('Scores des leads'!$AD$5:$AD$211,"Gagné"))</f>
        <v/>
      </c>
      <c r="E22" s="21">
        <f>IF(COUNTIF('Scores des leads'!$AD$5:$AD$211,"Perdu")=0,"",(COUNTIFS('Scores des leads'!$J$5:$J$211,"Clair",'Scores des leads'!$AD$5:$AD$211,"Perdu")+COUNTIFS('Scores des leads'!$J$5:$J$211,"Partiel",'Scores des leads'!$AD$5:$AD$211,"Perdu")/2)/COUNTIF('Scores des leads'!$AD$5:$AD$211,"Perdu"))</f>
        <v/>
      </c>
      <c r="F22" s="20">
        <f>IF(OR(D22="",E22=""),"",D22-E22)</f>
        <v/>
      </c>
      <c r="G22" s="9">
        <f>IF(OR(F22="",$E$11&lt;$E$12),"Données insuffisantes",IF(F22&gt;='Critères et poids'!$C$40,"Augmenter le poids",IF(F22&lt;'Critères et poids'!$C$41,"Baisser le poids","Garder")))</f>
        <v/>
      </c>
    </row>
    <row r="23">
      <c r="A23" s="4" t="n">
        <v>7</v>
      </c>
      <c r="B23" s="8">
        <f>'Critères et poids'!B11</f>
        <v/>
      </c>
      <c r="C23" s="14">
        <f>'Critères et poids'!$G$11</f>
        <v/>
      </c>
      <c r="D23" s="21">
        <f>IF(COUNTIF('Scores des leads'!$AD$5:$AD$211,"Gagné")=0,"",(COUNTIFS('Scores des leads'!$K$5:$K$211,"Clair",'Scores des leads'!$AD$5:$AD$211,"Gagné")+COUNTIFS('Scores des leads'!$K$5:$K$211,"Partiel",'Scores des leads'!$AD$5:$AD$211,"Gagné")/2)/COUNTIF('Scores des leads'!$AD$5:$AD$211,"Gagné"))</f>
        <v/>
      </c>
      <c r="E23" s="21">
        <f>IF(COUNTIF('Scores des leads'!$AD$5:$AD$211,"Perdu")=0,"",(COUNTIFS('Scores des leads'!$K$5:$K$211,"Clair",'Scores des leads'!$AD$5:$AD$211,"Perdu")+COUNTIFS('Scores des leads'!$K$5:$K$211,"Partiel",'Scores des leads'!$AD$5:$AD$211,"Perdu")/2)/COUNTIF('Scores des leads'!$AD$5:$AD$211,"Perdu"))</f>
        <v/>
      </c>
      <c r="F23" s="20">
        <f>IF(OR(D23="",E23=""),"",D23-E23)</f>
        <v/>
      </c>
      <c r="G23" s="9">
        <f>IF(OR(F23="",$E$11&lt;$E$12),"Données insuffisantes",IF(F23&gt;='Critères et poids'!$C$40,"Augmenter le poids",IF(F23&lt;'Critères et poids'!$C$41,"Baisser le poids","Garder")))</f>
        <v/>
      </c>
    </row>
    <row r="24">
      <c r="A24" s="4" t="n">
        <v>8</v>
      </c>
      <c r="B24" s="8">
        <f>'Critères et poids'!B12</f>
        <v/>
      </c>
      <c r="C24" s="14">
        <f>'Critères et poids'!$G$12</f>
        <v/>
      </c>
      <c r="D24" s="21">
        <f>IF(COUNTIF('Scores des leads'!$AD$5:$AD$211,"Gagné")=0,"",(COUNTIFS('Scores des leads'!$L$5:$L$211,"Clair",'Scores des leads'!$AD$5:$AD$211,"Gagné")+COUNTIFS('Scores des leads'!$L$5:$L$211,"Partiel",'Scores des leads'!$AD$5:$AD$211,"Gagné")/2)/COUNTIF('Scores des leads'!$AD$5:$AD$211,"Gagné"))</f>
        <v/>
      </c>
      <c r="E24" s="21">
        <f>IF(COUNTIF('Scores des leads'!$AD$5:$AD$211,"Perdu")=0,"",(COUNTIFS('Scores des leads'!$L$5:$L$211,"Clair",'Scores des leads'!$AD$5:$AD$211,"Perdu")+COUNTIFS('Scores des leads'!$L$5:$L$211,"Partiel",'Scores des leads'!$AD$5:$AD$211,"Perdu")/2)/COUNTIF('Scores des leads'!$AD$5:$AD$211,"Perdu"))</f>
        <v/>
      </c>
      <c r="F24" s="20">
        <f>IF(OR(D24="",E24=""),"",D24-E24)</f>
        <v/>
      </c>
      <c r="G24" s="9">
        <f>IF(OR(F24="",$E$11&lt;$E$12),"Données insuffisantes",IF(F24&gt;='Critères et poids'!$C$40,"Augmenter le poids",IF(F24&lt;'Critères et poids'!$C$41,"Baisser le poids","Garder")))</f>
        <v/>
      </c>
    </row>
    <row r="25">
      <c r="A25" s="4" t="n">
        <v>9</v>
      </c>
      <c r="B25" s="8">
        <f>'Critères et poids'!B13</f>
        <v/>
      </c>
      <c r="C25" s="14">
        <f>'Critères et poids'!$G$13</f>
        <v/>
      </c>
      <c r="D25" s="21">
        <f>IF(COUNTIF('Scores des leads'!$AD$5:$AD$211,"Gagné")=0,"",(COUNTIFS('Scores des leads'!$M$5:$M$211,"Clair",'Scores des leads'!$AD$5:$AD$211,"Gagné")+COUNTIFS('Scores des leads'!$M$5:$M$211,"Partiel",'Scores des leads'!$AD$5:$AD$211,"Gagné")/2)/COUNTIF('Scores des leads'!$AD$5:$AD$211,"Gagné"))</f>
        <v/>
      </c>
      <c r="E25" s="21">
        <f>IF(COUNTIF('Scores des leads'!$AD$5:$AD$211,"Perdu")=0,"",(COUNTIFS('Scores des leads'!$M$5:$M$211,"Clair",'Scores des leads'!$AD$5:$AD$211,"Perdu")+COUNTIFS('Scores des leads'!$M$5:$M$211,"Partiel",'Scores des leads'!$AD$5:$AD$211,"Perdu")/2)/COUNTIF('Scores des leads'!$AD$5:$AD$211,"Perdu"))</f>
        <v/>
      </c>
      <c r="F25" s="20">
        <f>IF(OR(D25="",E25=""),"",D25-E25)</f>
        <v/>
      </c>
      <c r="G25" s="9">
        <f>IF(OR(F25="",$E$11&lt;$E$12),"Données insuffisantes",IF(F25&gt;='Critères et poids'!$C$40,"Augmenter le poids",IF(F25&lt;'Critères et poids'!$C$41,"Baisser le poids","Garder")))</f>
        <v/>
      </c>
    </row>
    <row r="27">
      <c r="A27" s="2" t="inlineStr">
        <is>
          <t>Modifiez au plus 2 poids par mois, de 5 points maximum chacun, et gardez le total à 100.</t>
        </is>
      </c>
    </row>
    <row r="28">
      <c r="A28" s="2" t="inlineStr">
        <is>
          <t>Un écart inférieur à 10 points signifie que le critère ne distingue pas les ventes gagnées des ventes perdues : baissez-le, ou faites-en un critère éliminatoire.</t>
        </is>
      </c>
    </row>
    <row r="29">
      <c r="A29" s="2" t="inlineStr">
        <is>
          <t>Notez la date et le changement, puis comparez de nouveau le mois suivant.</t>
        </is>
      </c>
    </row>
    <row r="30">
      <c r="A30" s="26" t="inlineStr">
        <is>
          <t>Modèle gratuit de CRMsoftware.pro. Données d’exemple fictives.</t>
        </is>
      </c>
    </row>
  </sheetData>
  <mergeCells count="6">
    <mergeCell ref="E12:F12"/>
    <mergeCell ref="A12:D12"/>
    <mergeCell ref="E11:F11"/>
    <mergeCell ref="E13:F13"/>
    <mergeCell ref="A11:D11"/>
    <mergeCell ref="A13:D13"/>
  </mergeCells>
  <conditionalFormatting sqref="A5:A8">
    <cfRule type="expression" priority="1" dxfId="0">
      <formula>$A5="A"</formula>
    </cfRule>
    <cfRule type="expression" priority="2" dxfId="2">
      <formula>$A5="B"</formula>
    </cfRule>
    <cfRule type="expression" priority="3" dxfId="3">
      <formula>$A5="C"</formula>
    </cfRule>
    <cfRule type="expression" priority="4" dxfId="1">
      <formula>$A5="X"</formula>
    </cfRule>
  </conditionalFormatting>
  <conditionalFormatting sqref="E13">
    <cfRule type="expression" priority="5" dxfId="0">
      <formula>$E13="Le score prédit les ventes"</formula>
    </cfRule>
    <cfRule type="expression" priority="6" dxfId="1">
      <formula>$E13="À recalibrer"</formula>
    </cfRule>
    <cfRule type="expression" priority="7" dxfId="3">
      <formula>$E13="Données insuffisantes"</formula>
    </cfRule>
  </conditionalFormatting>
  <conditionalFormatting sqref="G17:G25">
    <cfRule type="expression" priority="8" dxfId="0">
      <formula>$G17="Augmenter le poids"</formula>
    </cfRule>
    <cfRule type="expression" priority="9" dxfId="1">
      <formula>$G17="Baisser le poids"</formula>
    </cfRule>
    <cfRule type="expression" priority="10" dxfId="3">
      <formula>$G17="Données insuffisantes"</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Modèle de lead scoring : critères et poids</dc:title>
  <dcterms:created xmlns:dcterms="http://purl.org/dc/terms/" xmlns:xsi="http://www.w3.org/2001/XMLSchema-instance" xsi:type="dcterms:W3CDTF">2026-10-08T17:59:20Z</dcterms:created>
  <dcterms:modified xmlns:dcterms="http://purl.org/dc/terms/" xmlns:xsi="http://www.w3.org/2001/XMLSchema-instance" xsi:type="dcterms:W3CDTF">2026-10-08T17:59:20Z</dcterms:modified>
</cp:coreProperties>
</file>