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routage" sheetId="1" state="visible" r:id="rId1"/>
    <sheet xmlns:r="http://schemas.openxmlformats.org/officeDocument/2006/relationships" name="Journal des réponses" sheetId="2" state="visible" r:id="rId2"/>
    <sheet xmlns:r="http://schemas.openxmlformats.org/officeDocument/2006/relationships" name="Changements de canal" sheetId="3" state="visible" r:id="rId3"/>
    <sheet xmlns:r="http://schemas.openxmlformats.org/officeDocument/2006/relationships" name="Horaires" sheetId="4" state="visible" r:id="rId4"/>
    <sheet xmlns:r="http://schemas.openxmlformats.org/officeDocument/2006/relationships" name="Synthèse" sheetId="5" state="visible" r:id="rId5"/>
  </sheets>
  <definedNames>
    <definedName name="_xlnm._FilterDatabase" localSheetId="0" hidden="1">'Tableau de routage'!$A$4:$N$29</definedName>
    <definedName name="_xlnm._FilterDatabase" localSheetId="1" hidden="1">'Journal des réponses'!$A$4:$N$204</definedName>
    <definedName name="_xlnm._FilterDatabase" localSheetId="2" hidden="1">'Changements de canal'!$A$4:$K$104</definedName>
  </definedNames>
  <calcPr calcId="124519" fullCalcOnLoad="1"/>
</workbook>
</file>

<file path=xl/styles.xml><?xml version="1.0" encoding="utf-8"?>
<styleSheet xmlns="http://schemas.openxmlformats.org/spreadsheetml/2006/main">
  <numFmts count="3">
    <numFmt numFmtId="164" formatCode="hh:mm"/>
    <numFmt numFmtId="165" formatCode="yyyy-mm-dd"/>
    <numFmt numFmtId="166" formatCode="yyyy-mm-dd hh:mm"/>
  </numFmts>
  <fonts count="10">
    <font>
      <name val="Calibri"/>
      <family val="2"/>
      <color theme="1"/>
      <sz val="11"/>
      <scheme val="minor"/>
    </font>
    <font>
      <name val="Calibri"/>
      <b val="1"/>
      <sz val="16"/>
    </font>
    <font>
      <name val="Calibri"/>
      <color rgb="005D5A70"/>
      <sz val="10"/>
    </font>
    <font>
      <name val="Calibri"/>
      <b val="1"/>
      <sz val="10"/>
    </font>
    <font>
      <name val="Calibri"/>
      <sz val="10"/>
    </font>
    <font>
      <name val="Calibri"/>
      <b val="1"/>
      <color rgb="0015131F"/>
    </font>
    <font>
      <name val="Calibri"/>
      <color rgb="008A87A0"/>
      <sz val="9"/>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3">
    <border>
      <left/>
      <right/>
      <top/>
      <bottom/>
      <diagonal/>
    </border>
    <border>
      <left style="thin">
        <color rgb="00E7E4F2"/>
      </left>
      <right style="thin">
        <color rgb="00E7E4F2"/>
      </right>
      <top style="thin">
        <color rgb="00E7E4F2"/>
      </top>
      <bottom style="thin">
        <color rgb="00E7E4F2"/>
      </bottom>
    </border>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5" fillId="2" borderId="1" applyAlignment="1" pivotButton="0" quotePrefix="0" xfId="0">
      <alignment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164" fontId="4" fillId="0" borderId="1" applyAlignment="1" pivotButton="0" quotePrefix="0" xfId="0">
      <alignment horizontal="center" vertical="top" wrapText="1"/>
    </xf>
    <xf numFmtId="0" fontId="3" fillId="3" borderId="1" applyAlignment="1" pivotButton="0" quotePrefix="0" xfId="0">
      <alignment horizontal="center" vertical="top" wrapText="1"/>
    </xf>
    <xf numFmtId="0" fontId="4" fillId="3" borderId="1" applyAlignment="1" pivotButton="0" quotePrefix="0" xfId="0">
      <alignment horizontal="center" vertical="top" wrapText="1"/>
    </xf>
    <xf numFmtId="0" fontId="6" fillId="0" borderId="0" pivotButton="0" quotePrefix="0" xfId="0"/>
    <xf numFmtId="166" fontId="4" fillId="0" borderId="1" applyAlignment="1" pivotButton="0" quotePrefix="0" xfId="0">
      <alignment horizontal="center" vertical="top" wrapText="1"/>
    </xf>
    <xf numFmtId="166" fontId="4" fillId="3" borderId="1" applyAlignment="1" pivotButton="0" quotePrefix="0" xfId="0">
      <alignment horizontal="center" vertical="top" wrapText="1"/>
    </xf>
    <xf numFmtId="165" fontId="4" fillId="0" borderId="1" applyAlignment="1" pivotButton="0" quotePrefix="0" xfId="0">
      <alignment horizontal="center" vertical="top" wrapText="1"/>
    </xf>
    <xf numFmtId="0" fontId="5" fillId="0" borderId="2" applyAlignment="1" pivotButton="0" quotePrefix="0" xfId="0">
      <alignment vertical="center" wrapText="1"/>
    </xf>
    <xf numFmtId="0" fontId="7" fillId="0" borderId="0" pivotButton="0" quotePrefix="0" xfId="0"/>
    <xf numFmtId="0" fontId="8" fillId="3" borderId="1" applyAlignment="1" pivotButton="0" quotePrefix="0" xfId="0">
      <alignment horizontal="center" vertical="top" wrapText="1"/>
    </xf>
    <xf numFmtId="9" fontId="8" fillId="3" borderId="1" applyAlignment="1" pivotButton="0" quotePrefix="0" xfId="0">
      <alignment horizontal="center" vertical="top" wrapText="1"/>
    </xf>
    <xf numFmtId="0" fontId="3" fillId="3" borderId="1" applyAlignment="1" pivotButton="0" quotePrefix="0" xfId="0">
      <alignment vertical="top" wrapText="1"/>
    </xf>
    <xf numFmtId="9" fontId="4" fillId="3" borderId="1" applyAlignment="1" pivotButton="0" quotePrefix="0" xfId="0">
      <alignment horizontal="center" vertical="top" wrapText="1"/>
    </xf>
    <xf numFmtId="165" fontId="3" fillId="0" borderId="1" applyAlignment="1" pivotButton="0" quotePrefix="0" xfId="0">
      <alignment horizontal="center" vertical="top" wrapText="1"/>
    </xf>
    <xf numFmtId="165" fontId="3" fillId="3" borderId="1" applyAlignment="1" pivotButton="0" quotePrefix="0" xfId="0">
      <alignment vertical="top" wrapText="1"/>
    </xf>
    <xf numFmtId="0" fontId="9"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9"/>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11" customWidth="1" min="3" max="3"/>
    <col width="12" customWidth="1" min="4" max="4"/>
    <col width="12" customWidth="1" min="5" max="5"/>
    <col width="14" customWidth="1" min="6" max="6"/>
    <col width="16" customWidth="1" min="7" max="7"/>
    <col width="13" customWidth="1" min="8" max="8"/>
    <col width="12" customWidth="1" min="9" max="9"/>
    <col width="32" customWidth="1" min="10" max="10"/>
    <col width="32" customWidth="1" min="11" max="11"/>
    <col width="16" customWidth="1" min="12" max="12"/>
    <col width="13" customWidth="1" min="13" max="13"/>
    <col width="10" customWidth="1" min="14" max="14"/>
    <col hidden="1" width="13" customWidth="1" min="16" max="16"/>
  </cols>
  <sheetData>
    <row r="1">
      <c r="A1" s="1" t="inlineStr">
        <is>
          <t>Tableau de routage des chats</t>
        </is>
      </c>
    </row>
    <row r="2">
      <c r="A2" s="2" t="inlineStr">
        <is>
          <t>Une ligne par sujet. Choisissez le responsable, le suppléant et la personne d’escalade dans l’équipe de la feuille Horaires. Statut et Chats enregistrés se remplissent seuls.</t>
        </is>
      </c>
    </row>
    <row r="4" ht="44" customHeight="1">
      <c r="A4" s="3" t="inlineStr">
        <is>
          <t>Sujet</t>
        </is>
      </c>
      <c r="B4" s="3" t="inlineStr">
        <is>
          <t>Pages ou canal</t>
        </is>
      </c>
      <c r="C4" s="3" t="inlineStr">
        <is>
          <t>Urgence</t>
        </is>
      </c>
      <c r="D4" s="3" t="inlineStr">
        <is>
          <t>Responsable</t>
        </is>
      </c>
      <c r="E4" s="3" t="inlineStr">
        <is>
          <t>Suppléant</t>
        </is>
      </c>
      <c r="F4" s="3" t="inlineStr">
        <is>
          <t>Première réponse en heures ouvrées (minutes)</t>
        </is>
      </c>
      <c r="G4" s="3" t="inlineStr">
        <is>
          <t>Hors horaires : réponse avant (jour ouvré suivant)</t>
        </is>
      </c>
      <c r="H4" s="3" t="inlineStr">
        <is>
          <t>Escalade après (minutes)</t>
        </is>
      </c>
      <c r="I4" s="3" t="inlineStr">
        <is>
          <t>Escalade vers</t>
        </is>
      </c>
      <c r="J4" s="3" t="inlineStr">
        <is>
          <t>L’IA répond elle-même</t>
        </is>
      </c>
      <c r="K4" s="3" t="inlineStr">
        <is>
          <t>L’IA transfère quand</t>
        </is>
      </c>
      <c r="L4" s="3" t="inlineStr">
        <is>
          <t>Tag de conversation</t>
        </is>
      </c>
      <c r="M4" s="3" t="inlineStr">
        <is>
          <t>Statut</t>
        </is>
      </c>
      <c r="N4" s="3" t="inlineStr">
        <is>
          <t>Chats enregistrés</t>
        </is>
      </c>
    </row>
    <row r="5">
      <c r="A5" s="4" t="inlineStr">
        <is>
          <t>Offres et prix</t>
        </is>
      </c>
      <c r="B5" s="5" t="inlineStr">
        <is>
          <t>Page d’accueil et page Tarifs</t>
        </is>
      </c>
      <c r="C5" s="6" t="inlineStr">
        <is>
          <t>Normale</t>
        </is>
      </c>
      <c r="D5" s="5" t="inlineStr">
        <is>
          <t>Theo</t>
        </is>
      </c>
      <c r="E5" s="5" t="inlineStr">
        <is>
          <t>Nadia</t>
        </is>
      </c>
      <c r="F5" s="6" t="n">
        <v>10</v>
      </c>
      <c r="G5" s="7" t="n">
        <v>0.375</v>
      </c>
      <c r="H5" s="6" t="n">
        <v>20</v>
      </c>
      <c r="I5" s="5" t="inlineStr">
        <is>
          <t>Nadia</t>
        </is>
      </c>
      <c r="J5" s="5" t="inlineStr">
        <is>
          <t>Prix des offres, repas par semaine, jours de livraison</t>
        </is>
      </c>
      <c r="K5" s="5" t="inlineStr">
        <is>
          <t>Une remise, ou une offre absente de la page Tarifs</t>
        </is>
      </c>
      <c r="L5" s="5" t="inlineStr">
        <is>
          <t>Ventes</t>
        </is>
      </c>
      <c r="M5" s="8">
        <f>IF(A5="","",IF(OR(D5="",F5="",G5=""),"Incomplète",IF(OR(E5="",E5=D5),"Sans suppléant","Prête")))</f>
        <v/>
      </c>
      <c r="N5" s="9">
        <f>IF(A5="","",COUNTIF('Journal des réponses'!$C$5:$C$204,A5))</f>
        <v/>
      </c>
      <c r="P5" s="10" t="inlineStr">
        <is>
          <t>Urgente</t>
        </is>
      </c>
    </row>
    <row r="6">
      <c r="A6" s="4" t="inlineStr">
        <is>
          <t>Commandes entreprises et en gros</t>
        </is>
      </c>
      <c r="B6" s="5" t="inlineStr">
        <is>
          <t>Pages Tarifs et Contact</t>
        </is>
      </c>
      <c r="C6" s="6" t="inlineStr">
        <is>
          <t>Élevée</t>
        </is>
      </c>
      <c r="D6" s="5" t="inlineStr">
        <is>
          <t>Theo</t>
        </is>
      </c>
      <c r="E6" s="5" t="inlineStr">
        <is>
          <t>Nadia</t>
        </is>
      </c>
      <c r="F6" s="6" t="n">
        <v>10</v>
      </c>
      <c r="G6" s="7" t="n">
        <v>0.375</v>
      </c>
      <c r="H6" s="6" t="n">
        <v>20</v>
      </c>
      <c r="I6" s="5" t="inlineStr">
        <is>
          <t>Nadia</t>
        </is>
      </c>
      <c r="J6" s="5" t="inlineStr">
        <is>
          <t>Limites de repas par semaine, zone de livraison</t>
        </is>
      </c>
      <c r="K6" s="5" t="inlineStr">
        <is>
          <t>Plus de 6 repas par semaine, factures, contrats</t>
        </is>
      </c>
      <c r="L6" s="5" t="inlineStr">
        <is>
          <t>Commandes entreprises</t>
        </is>
      </c>
      <c r="M6" s="8">
        <f>IF(A6="","",IF(OR(D6="",F6="",G6=""),"Incomplète",IF(OR(E6="",E6=D6),"Sans suppléant","Prête")))</f>
        <v/>
      </c>
      <c r="N6" s="9">
        <f>IF(A6="","",COUNTIF('Journal des réponses'!$C$5:$C$204,A6))</f>
        <v/>
      </c>
      <c r="P6" s="10" t="inlineStr">
        <is>
          <t>Élevée</t>
        </is>
      </c>
    </row>
    <row r="7">
      <c r="A7" s="4" t="inlineStr">
        <is>
          <t>Menu et ingrédients</t>
        </is>
      </c>
      <c r="B7" s="5" t="inlineStr">
        <is>
          <t>Pages produit</t>
        </is>
      </c>
      <c r="C7" s="6" t="inlineStr">
        <is>
          <t>Normale</t>
        </is>
      </c>
      <c r="D7" s="5" t="inlineStr">
        <is>
          <t>Theo</t>
        </is>
      </c>
      <c r="E7" s="5" t="inlineStr">
        <is>
          <t>Mara</t>
        </is>
      </c>
      <c r="F7" s="6" t="n">
        <v>10</v>
      </c>
      <c r="G7" s="7" t="n">
        <v>0.375</v>
      </c>
      <c r="H7" s="6" t="n">
        <v>20</v>
      </c>
      <c r="I7" s="5" t="inlineStr">
        <is>
          <t>Nadia</t>
        </is>
      </c>
      <c r="J7" s="5" t="inlineStr">
        <is>
          <t>Ingrédients et valeurs nutritionnelles de la page recette</t>
        </is>
      </c>
      <c r="K7" s="5" t="inlineStr">
        <is>
          <t>Toute question d’allergie ou de santé</t>
        </is>
      </c>
      <c r="L7" s="5" t="inlineStr">
        <is>
          <t>Menu</t>
        </is>
      </c>
      <c r="M7" s="8">
        <f>IF(A7="","",IF(OR(D7="",F7="",G7=""),"Incomplète",IF(OR(E7="",E7=D7),"Sans suppléant","Prête")))</f>
        <v/>
      </c>
      <c r="N7" s="9">
        <f>IF(A7="","",COUNTIF('Journal des réponses'!$C$5:$C$204,A7))</f>
        <v/>
      </c>
      <c r="P7" s="10" t="inlineStr">
        <is>
          <t>Normale</t>
        </is>
      </c>
    </row>
    <row r="8">
      <c r="A8" s="4" t="inlineStr">
        <is>
          <t>Paiement en ligne</t>
        </is>
      </c>
      <c r="B8" s="5" t="inlineStr">
        <is>
          <t>Lien de paiement, centre d’aide</t>
        </is>
      </c>
      <c r="C8" s="6" t="inlineStr">
        <is>
          <t>Élevée</t>
        </is>
      </c>
      <c r="D8" s="5" t="inlineStr">
        <is>
          <t>Mara</t>
        </is>
      </c>
      <c r="E8" s="5" t="inlineStr">
        <is>
          <t>Theo</t>
        </is>
      </c>
      <c r="F8" s="6" t="n">
        <v>5</v>
      </c>
      <c r="G8" s="7" t="n">
        <v>0.375</v>
      </c>
      <c r="H8" s="6" t="n">
        <v>15</v>
      </c>
      <c r="I8" s="5" t="inlineStr">
        <is>
          <t>Nadia</t>
        </is>
      </c>
      <c r="J8" s="5" t="inlineStr">
        <is>
          <t>Moyens de paiement, codes promo</t>
        </is>
      </c>
      <c r="K8" s="5" t="inlineStr">
        <is>
          <t>Un paiement échoue deux fois, ou un double prélèvement</t>
        </is>
      </c>
      <c r="L8" s="5" t="inlineStr">
        <is>
          <t>Paiement</t>
        </is>
      </c>
      <c r="M8" s="8">
        <f>IF(A8="","",IF(OR(D8="",F8="",G8=""),"Incomplète",IF(OR(E8="",E8=D8),"Sans suppléant","Prête")))</f>
        <v/>
      </c>
      <c r="N8" s="9">
        <f>IF(A8="","",COUNTIF('Journal des réponses'!$C$5:$C$204,A8))</f>
        <v/>
      </c>
      <c r="P8" s="10" t="inlineStr">
        <is>
          <t>Faible</t>
        </is>
      </c>
    </row>
    <row r="9">
      <c r="A9" s="4" t="inlineStr">
        <is>
          <t>Box manquante ou abîmée</t>
        </is>
      </c>
      <c r="B9" s="5" t="inlineStr">
        <is>
          <t>Centre d’aide</t>
        </is>
      </c>
      <c r="C9" s="6" t="inlineStr">
        <is>
          <t>Urgente</t>
        </is>
      </c>
      <c r="D9" s="5" t="inlineStr">
        <is>
          <t>Mara</t>
        </is>
      </c>
      <c r="E9" s="5" t="inlineStr">
        <is>
          <t>Theo</t>
        </is>
      </c>
      <c r="F9" s="6" t="n">
        <v>5</v>
      </c>
      <c r="G9" s="7" t="n">
        <v>0.375</v>
      </c>
      <c r="H9" s="6" t="n">
        <v>15</v>
      </c>
      <c r="I9" s="5" t="inlineStr">
        <is>
          <t>Nadia</t>
        </is>
      </c>
      <c r="J9" s="5" t="inlineStr">
        <is>
          <t>Jours de livraison, lien de suivi</t>
        </is>
      </c>
      <c r="K9" s="5" t="inlineStr">
        <is>
          <t>Toujours : une personne décide d’un avoir ou d’une nouvelle box</t>
        </is>
      </c>
      <c r="L9" s="5" t="inlineStr">
        <is>
          <t>Problème de livraison</t>
        </is>
      </c>
      <c r="M9" s="8">
        <f>IF(A9="","",IF(OR(D9="",F9="",G9=""),"Incomplète",IF(OR(E9="",E9=D9),"Sans suppléant","Prête")))</f>
        <v/>
      </c>
      <c r="N9" s="9">
        <f>IF(A9="","",COUNTIF('Journal des réponses'!$C$5:$C$204,A9))</f>
        <v/>
      </c>
    </row>
    <row r="10">
      <c r="A10" s="4" t="inlineStr">
        <is>
          <t>Facturation, pauses et résiliations</t>
        </is>
      </c>
      <c r="B10" s="5" t="inlineStr">
        <is>
          <t>Centre d’aide, WhatsApp</t>
        </is>
      </c>
      <c r="C10" s="6" t="inlineStr">
        <is>
          <t>Normale</t>
        </is>
      </c>
      <c r="D10" s="5" t="inlineStr">
        <is>
          <t>Mara</t>
        </is>
      </c>
      <c r="E10" s="5" t="inlineStr">
        <is>
          <t>Nadia</t>
        </is>
      </c>
      <c r="F10" s="6" t="n">
        <v>30</v>
      </c>
      <c r="G10" s="7" t="n">
        <v>0.375</v>
      </c>
      <c r="H10" s="6" t="n">
        <v>60</v>
      </c>
      <c r="I10" s="5" t="inlineStr">
        <is>
          <t>Nadia</t>
        </is>
      </c>
      <c r="J10" s="5" t="inlineStr">
        <is>
          <t>Date de facturation, comment sauter une livraison, suspendre ou résilier</t>
        </is>
      </c>
      <c r="K10" s="5" t="inlineStr">
        <is>
          <t>Remboursements, avoirs, contestations de prélèvement</t>
        </is>
      </c>
      <c r="L10" s="5" t="inlineStr">
        <is>
          <t>Facturation</t>
        </is>
      </c>
      <c r="M10" s="8">
        <f>IF(A10="","",IF(OR(D10="",F10="",G10=""),"Incomplète",IF(OR(E10="",E10=D10),"Sans suppléant","Prête")))</f>
        <v/>
      </c>
      <c r="N10" s="9">
        <f>IF(A10="","",COUNTIF('Journal des réponses'!$C$5:$C$204,A10))</f>
        <v/>
      </c>
    </row>
    <row r="11">
      <c r="A11" s="4" t="inlineStr">
        <is>
          <t>Partenariats et presse</t>
        </is>
      </c>
      <c r="B11" s="5" t="inlineStr">
        <is>
          <t>Page Contact</t>
        </is>
      </c>
      <c r="C11" s="6" t="inlineStr">
        <is>
          <t>Faible</t>
        </is>
      </c>
      <c r="D11" s="5" t="inlineStr">
        <is>
          <t>Nadia</t>
        </is>
      </c>
      <c r="E11" s="5" t="inlineStr">
        <is>
          <t>Theo</t>
        </is>
      </c>
      <c r="F11" s="6" t="n">
        <v>240</v>
      </c>
      <c r="G11" s="7" t="n">
        <v>0.5</v>
      </c>
      <c r="H11" s="6" t="n"/>
      <c r="I11" s="5" t="n"/>
      <c r="J11" s="5" t="inlineStr">
        <is>
          <t>Informations sur l’entreprise, e-mail du contact presse</t>
        </is>
      </c>
      <c r="K11" s="5" t="inlineStr">
        <is>
          <t>Toutes les demandes</t>
        </is>
      </c>
      <c r="L11" s="5" t="inlineStr">
        <is>
          <t>Partenariats</t>
        </is>
      </c>
      <c r="M11" s="8">
        <f>IF(A11="","",IF(OR(D11="",F11="",G11=""),"Incomplète",IF(OR(E11="",E11=D11),"Sans suppléant","Prête")))</f>
        <v/>
      </c>
      <c r="N11" s="9">
        <f>IF(A11="","",COUNTIF('Journal des réponses'!$C$5:$C$204,A11))</f>
        <v/>
      </c>
    </row>
    <row r="12">
      <c r="A12" s="4" t="n"/>
      <c r="B12" s="5" t="n"/>
      <c r="C12" s="6" t="n"/>
      <c r="D12" s="5" t="n"/>
      <c r="E12" s="5" t="n"/>
      <c r="F12" s="6" t="n"/>
      <c r="G12" s="7" t="n"/>
      <c r="H12" s="6" t="n"/>
      <c r="I12" s="5" t="n"/>
      <c r="J12" s="5" t="n"/>
      <c r="K12" s="5" t="n"/>
      <c r="L12" s="5" t="n"/>
      <c r="M12" s="8">
        <f>IF(A12="","",IF(OR(D12="",F12="",G12=""),"Incomplète",IF(OR(E12="",E12=D12),"Sans suppléant","Prête")))</f>
        <v/>
      </c>
      <c r="N12" s="9">
        <f>IF(A12="","",COUNTIF('Journal des réponses'!$C$5:$C$204,A12))</f>
        <v/>
      </c>
    </row>
    <row r="13">
      <c r="A13" s="4" t="n"/>
      <c r="B13" s="5" t="n"/>
      <c r="C13" s="6" t="n"/>
      <c r="D13" s="5" t="n"/>
      <c r="E13" s="5" t="n"/>
      <c r="F13" s="6" t="n"/>
      <c r="G13" s="7" t="n"/>
      <c r="H13" s="6" t="n"/>
      <c r="I13" s="5" t="n"/>
      <c r="J13" s="5" t="n"/>
      <c r="K13" s="5" t="n"/>
      <c r="L13" s="5" t="n"/>
      <c r="M13" s="8">
        <f>IF(A13="","",IF(OR(D13="",F13="",G13=""),"Incomplète",IF(OR(E13="",E13=D13),"Sans suppléant","Prête")))</f>
        <v/>
      </c>
      <c r="N13" s="9">
        <f>IF(A13="","",COUNTIF('Journal des réponses'!$C$5:$C$204,A13))</f>
        <v/>
      </c>
    </row>
    <row r="14">
      <c r="A14" s="4" t="n"/>
      <c r="B14" s="5" t="n"/>
      <c r="C14" s="6" t="n"/>
      <c r="D14" s="5" t="n"/>
      <c r="E14" s="5" t="n"/>
      <c r="F14" s="6" t="n"/>
      <c r="G14" s="7" t="n"/>
      <c r="H14" s="6" t="n"/>
      <c r="I14" s="5" t="n"/>
      <c r="J14" s="5" t="n"/>
      <c r="K14" s="5" t="n"/>
      <c r="L14" s="5" t="n"/>
      <c r="M14" s="8">
        <f>IF(A14="","",IF(OR(D14="",F14="",G14=""),"Incomplète",IF(OR(E14="",E14=D14),"Sans suppléant","Prête")))</f>
        <v/>
      </c>
      <c r="N14" s="9">
        <f>IF(A14="","",COUNTIF('Journal des réponses'!$C$5:$C$204,A14))</f>
        <v/>
      </c>
    </row>
    <row r="15">
      <c r="A15" s="4" t="n"/>
      <c r="B15" s="5" t="n"/>
      <c r="C15" s="6" t="n"/>
      <c r="D15" s="5" t="n"/>
      <c r="E15" s="5" t="n"/>
      <c r="F15" s="6" t="n"/>
      <c r="G15" s="7" t="n"/>
      <c r="H15" s="6" t="n"/>
      <c r="I15" s="5" t="n"/>
      <c r="J15" s="5" t="n"/>
      <c r="K15" s="5" t="n"/>
      <c r="L15" s="5" t="n"/>
      <c r="M15" s="8">
        <f>IF(A15="","",IF(OR(D15="",F15="",G15=""),"Incomplète",IF(OR(E15="",E15=D15),"Sans suppléant","Prête")))</f>
        <v/>
      </c>
      <c r="N15" s="9">
        <f>IF(A15="","",COUNTIF('Journal des réponses'!$C$5:$C$204,A15))</f>
        <v/>
      </c>
    </row>
    <row r="16">
      <c r="A16" s="4" t="n"/>
      <c r="B16" s="5" t="n"/>
      <c r="C16" s="6" t="n"/>
      <c r="D16" s="5" t="n"/>
      <c r="E16" s="5" t="n"/>
      <c r="F16" s="6" t="n"/>
      <c r="G16" s="7" t="n"/>
      <c r="H16" s="6" t="n"/>
      <c r="I16" s="5" t="n"/>
      <c r="J16" s="5" t="n"/>
      <c r="K16" s="5" t="n"/>
      <c r="L16" s="5" t="n"/>
      <c r="M16" s="8">
        <f>IF(A16="","",IF(OR(D16="",F16="",G16=""),"Incomplète",IF(OR(E16="",E16=D16),"Sans suppléant","Prête")))</f>
        <v/>
      </c>
      <c r="N16" s="9">
        <f>IF(A16="","",COUNTIF('Journal des réponses'!$C$5:$C$204,A16))</f>
        <v/>
      </c>
    </row>
    <row r="17">
      <c r="A17" s="4" t="n"/>
      <c r="B17" s="5" t="n"/>
      <c r="C17" s="6" t="n"/>
      <c r="D17" s="5" t="n"/>
      <c r="E17" s="5" t="n"/>
      <c r="F17" s="6" t="n"/>
      <c r="G17" s="7" t="n"/>
      <c r="H17" s="6" t="n"/>
      <c r="I17" s="5" t="n"/>
      <c r="J17" s="5" t="n"/>
      <c r="K17" s="5" t="n"/>
      <c r="L17" s="5" t="n"/>
      <c r="M17" s="8">
        <f>IF(A17="","",IF(OR(D17="",F17="",G17=""),"Incomplète",IF(OR(E17="",E17=D17),"Sans suppléant","Prête")))</f>
        <v/>
      </c>
      <c r="N17" s="9">
        <f>IF(A17="","",COUNTIF('Journal des réponses'!$C$5:$C$204,A17))</f>
        <v/>
      </c>
    </row>
    <row r="18">
      <c r="A18" s="4" t="n"/>
      <c r="B18" s="5" t="n"/>
      <c r="C18" s="6" t="n"/>
      <c r="D18" s="5" t="n"/>
      <c r="E18" s="5" t="n"/>
      <c r="F18" s="6" t="n"/>
      <c r="G18" s="7" t="n"/>
      <c r="H18" s="6" t="n"/>
      <c r="I18" s="5" t="n"/>
      <c r="J18" s="5" t="n"/>
      <c r="K18" s="5" t="n"/>
      <c r="L18" s="5" t="n"/>
      <c r="M18" s="8">
        <f>IF(A18="","",IF(OR(D18="",F18="",G18=""),"Incomplète",IF(OR(E18="",E18=D18),"Sans suppléant","Prête")))</f>
        <v/>
      </c>
      <c r="N18" s="9">
        <f>IF(A18="","",COUNTIF('Journal des réponses'!$C$5:$C$204,A18))</f>
        <v/>
      </c>
    </row>
    <row r="19">
      <c r="A19" s="4" t="n"/>
      <c r="B19" s="5" t="n"/>
      <c r="C19" s="6" t="n"/>
      <c r="D19" s="5" t="n"/>
      <c r="E19" s="5" t="n"/>
      <c r="F19" s="6" t="n"/>
      <c r="G19" s="7" t="n"/>
      <c r="H19" s="6" t="n"/>
      <c r="I19" s="5" t="n"/>
      <c r="J19" s="5" t="n"/>
      <c r="K19" s="5" t="n"/>
      <c r="L19" s="5" t="n"/>
      <c r="M19" s="8">
        <f>IF(A19="","",IF(OR(D19="",F19="",G19=""),"Incomplète",IF(OR(E19="",E19=D19),"Sans suppléant","Prête")))</f>
        <v/>
      </c>
      <c r="N19" s="9">
        <f>IF(A19="","",COUNTIF('Journal des réponses'!$C$5:$C$204,A19))</f>
        <v/>
      </c>
    </row>
    <row r="20">
      <c r="A20" s="4" t="n"/>
      <c r="B20" s="5" t="n"/>
      <c r="C20" s="6" t="n"/>
      <c r="D20" s="5" t="n"/>
      <c r="E20" s="5" t="n"/>
      <c r="F20" s="6" t="n"/>
      <c r="G20" s="7" t="n"/>
      <c r="H20" s="6" t="n"/>
      <c r="I20" s="5" t="n"/>
      <c r="J20" s="5" t="n"/>
      <c r="K20" s="5" t="n"/>
      <c r="L20" s="5" t="n"/>
      <c r="M20" s="8">
        <f>IF(A20="","",IF(OR(D20="",F20="",G20=""),"Incomplète",IF(OR(E20="",E20=D20),"Sans suppléant","Prête")))</f>
        <v/>
      </c>
      <c r="N20" s="9">
        <f>IF(A20="","",COUNTIF('Journal des réponses'!$C$5:$C$204,A20))</f>
        <v/>
      </c>
    </row>
    <row r="21">
      <c r="A21" s="4" t="n"/>
      <c r="B21" s="5" t="n"/>
      <c r="C21" s="6" t="n"/>
      <c r="D21" s="5" t="n"/>
      <c r="E21" s="5" t="n"/>
      <c r="F21" s="6" t="n"/>
      <c r="G21" s="7" t="n"/>
      <c r="H21" s="6" t="n"/>
      <c r="I21" s="5" t="n"/>
      <c r="J21" s="5" t="n"/>
      <c r="K21" s="5" t="n"/>
      <c r="L21" s="5" t="n"/>
      <c r="M21" s="8">
        <f>IF(A21="","",IF(OR(D21="",F21="",G21=""),"Incomplète",IF(OR(E21="",E21=D21),"Sans suppléant","Prête")))</f>
        <v/>
      </c>
      <c r="N21" s="9">
        <f>IF(A21="","",COUNTIF('Journal des réponses'!$C$5:$C$204,A21))</f>
        <v/>
      </c>
    </row>
    <row r="22">
      <c r="A22" s="4" t="n"/>
      <c r="B22" s="5" t="n"/>
      <c r="C22" s="6" t="n"/>
      <c r="D22" s="5" t="n"/>
      <c r="E22" s="5" t="n"/>
      <c r="F22" s="6" t="n"/>
      <c r="G22" s="7" t="n"/>
      <c r="H22" s="6" t="n"/>
      <c r="I22" s="5" t="n"/>
      <c r="J22" s="5" t="n"/>
      <c r="K22" s="5" t="n"/>
      <c r="L22" s="5" t="n"/>
      <c r="M22" s="8">
        <f>IF(A22="","",IF(OR(D22="",F22="",G22=""),"Incomplète",IF(OR(E22="",E22=D22),"Sans suppléant","Prête")))</f>
        <v/>
      </c>
      <c r="N22" s="9">
        <f>IF(A22="","",COUNTIF('Journal des réponses'!$C$5:$C$204,A22))</f>
        <v/>
      </c>
    </row>
    <row r="23">
      <c r="A23" s="4" t="n"/>
      <c r="B23" s="5" t="n"/>
      <c r="C23" s="6" t="n"/>
      <c r="D23" s="5" t="n"/>
      <c r="E23" s="5" t="n"/>
      <c r="F23" s="6" t="n"/>
      <c r="G23" s="7" t="n"/>
      <c r="H23" s="6" t="n"/>
      <c r="I23" s="5" t="n"/>
      <c r="J23" s="5" t="n"/>
      <c r="K23" s="5" t="n"/>
      <c r="L23" s="5" t="n"/>
      <c r="M23" s="8">
        <f>IF(A23="","",IF(OR(D23="",F23="",G23=""),"Incomplète",IF(OR(E23="",E23=D23),"Sans suppléant","Prête")))</f>
        <v/>
      </c>
      <c r="N23" s="9">
        <f>IF(A23="","",COUNTIF('Journal des réponses'!$C$5:$C$204,A23))</f>
        <v/>
      </c>
    </row>
    <row r="24">
      <c r="A24" s="4" t="n"/>
      <c r="B24" s="5" t="n"/>
      <c r="C24" s="6" t="n"/>
      <c r="D24" s="5" t="n"/>
      <c r="E24" s="5" t="n"/>
      <c r="F24" s="6" t="n"/>
      <c r="G24" s="7" t="n"/>
      <c r="H24" s="6" t="n"/>
      <c r="I24" s="5" t="n"/>
      <c r="J24" s="5" t="n"/>
      <c r="K24" s="5" t="n"/>
      <c r="L24" s="5" t="n"/>
      <c r="M24" s="8">
        <f>IF(A24="","",IF(OR(D24="",F24="",G24=""),"Incomplète",IF(OR(E24="",E24=D24),"Sans suppléant","Prête")))</f>
        <v/>
      </c>
      <c r="N24" s="9">
        <f>IF(A24="","",COUNTIF('Journal des réponses'!$C$5:$C$204,A24))</f>
        <v/>
      </c>
    </row>
    <row r="25">
      <c r="A25" s="4" t="n"/>
      <c r="B25" s="5" t="n"/>
      <c r="C25" s="6" t="n"/>
      <c r="D25" s="5" t="n"/>
      <c r="E25" s="5" t="n"/>
      <c r="F25" s="6" t="n"/>
      <c r="G25" s="7" t="n"/>
      <c r="H25" s="6" t="n"/>
      <c r="I25" s="5" t="n"/>
      <c r="J25" s="5" t="n"/>
      <c r="K25" s="5" t="n"/>
      <c r="L25" s="5" t="n"/>
      <c r="M25" s="8">
        <f>IF(A25="","",IF(OR(D25="",F25="",G25=""),"Incomplète",IF(OR(E25="",E25=D25),"Sans suppléant","Prête")))</f>
        <v/>
      </c>
      <c r="N25" s="9">
        <f>IF(A25="","",COUNTIF('Journal des réponses'!$C$5:$C$204,A25))</f>
        <v/>
      </c>
    </row>
    <row r="26">
      <c r="A26" s="4" t="n"/>
      <c r="B26" s="5" t="n"/>
      <c r="C26" s="6" t="n"/>
      <c r="D26" s="5" t="n"/>
      <c r="E26" s="5" t="n"/>
      <c r="F26" s="6" t="n"/>
      <c r="G26" s="7" t="n"/>
      <c r="H26" s="6" t="n"/>
      <c r="I26" s="5" t="n"/>
      <c r="J26" s="5" t="n"/>
      <c r="K26" s="5" t="n"/>
      <c r="L26" s="5" t="n"/>
      <c r="M26" s="8">
        <f>IF(A26="","",IF(OR(D26="",F26="",G26=""),"Incomplète",IF(OR(E26="",E26=D26),"Sans suppléant","Prête")))</f>
        <v/>
      </c>
      <c r="N26" s="9">
        <f>IF(A26="","",COUNTIF('Journal des réponses'!$C$5:$C$204,A26))</f>
        <v/>
      </c>
    </row>
    <row r="27">
      <c r="A27" s="4" t="n"/>
      <c r="B27" s="5" t="n"/>
      <c r="C27" s="6" t="n"/>
      <c r="D27" s="5" t="n"/>
      <c r="E27" s="5" t="n"/>
      <c r="F27" s="6" t="n"/>
      <c r="G27" s="7" t="n"/>
      <c r="H27" s="6" t="n"/>
      <c r="I27" s="5" t="n"/>
      <c r="J27" s="5" t="n"/>
      <c r="K27" s="5" t="n"/>
      <c r="L27" s="5" t="n"/>
      <c r="M27" s="8">
        <f>IF(A27="","",IF(OR(D27="",F27="",G27=""),"Incomplète",IF(OR(E27="",E27=D27),"Sans suppléant","Prête")))</f>
        <v/>
      </c>
      <c r="N27" s="9">
        <f>IF(A27="","",COUNTIF('Journal des réponses'!$C$5:$C$204,A27))</f>
        <v/>
      </c>
    </row>
    <row r="28">
      <c r="A28" s="4" t="n"/>
      <c r="B28" s="5" t="n"/>
      <c r="C28" s="6" t="n"/>
      <c r="D28" s="5" t="n"/>
      <c r="E28" s="5" t="n"/>
      <c r="F28" s="6" t="n"/>
      <c r="G28" s="7" t="n"/>
      <c r="H28" s="6" t="n"/>
      <c r="I28" s="5" t="n"/>
      <c r="J28" s="5" t="n"/>
      <c r="K28" s="5" t="n"/>
      <c r="L28" s="5" t="n"/>
      <c r="M28" s="8">
        <f>IF(A28="","",IF(OR(D28="",F28="",G28=""),"Incomplète",IF(OR(E28="",E28=D28),"Sans suppléant","Prête")))</f>
        <v/>
      </c>
      <c r="N28" s="9">
        <f>IF(A28="","",COUNTIF('Journal des réponses'!$C$5:$C$204,A28))</f>
        <v/>
      </c>
    </row>
    <row r="29">
      <c r="A29" s="4" t="n"/>
      <c r="B29" s="5" t="n"/>
      <c r="C29" s="6" t="n"/>
      <c r="D29" s="5" t="n"/>
      <c r="E29" s="5" t="n"/>
      <c r="F29" s="6" t="n"/>
      <c r="G29" s="7" t="n"/>
      <c r="H29" s="6" t="n"/>
      <c r="I29" s="5" t="n"/>
      <c r="J29" s="5" t="n"/>
      <c r="K29" s="5" t="n"/>
      <c r="L29" s="5" t="n"/>
      <c r="M29" s="8">
        <f>IF(A29="","",IF(OR(D29="",F29="",G29=""),"Incomplète",IF(OR(E29="",E29=D29),"Sans suppléant","Prête")))</f>
        <v/>
      </c>
      <c r="N29" s="9">
        <f>IF(A29="","",COUNTIF('Journal des réponses'!$C$5:$C$204,A29))</f>
        <v/>
      </c>
    </row>
  </sheetData>
  <autoFilter ref="A4:N29"/>
  <conditionalFormatting sqref="M5:M29">
    <cfRule type="expression" priority="1" dxfId="0">
      <formula>$M5="Prête"</formula>
    </cfRule>
    <cfRule type="expression" priority="2" dxfId="1">
      <formula>$M5="Incomplète"</formula>
    </cfRule>
    <cfRule type="expression" priority="3" dxfId="2">
      <formula>$M5="Sans suppléant"</formula>
    </cfRule>
  </conditionalFormatting>
  <conditionalFormatting sqref="C5:C29">
    <cfRule type="expression" priority="4" dxfId="1">
      <formula>$C5="Urgente"</formula>
    </cfRule>
    <cfRule type="expression" priority="5" dxfId="2">
      <formula>$C5="Élevée"</formula>
    </cfRule>
  </conditionalFormatting>
  <dataValidations count="4">
    <dataValidation sqref="C5:C29" showDropDown="0" showInputMessage="0" showErrorMessage="1" allowBlank="1" type="list">
      <formula1>=$P$5:$P$8</formula1>
    </dataValidation>
    <dataValidation sqref="D5:D29" showDropDown="0" showInputMessage="0" showErrorMessage="0" allowBlank="1" type="list">
      <formula1>='Horaires'!$D$9:$D$20</formula1>
    </dataValidation>
    <dataValidation sqref="E5:E29" showDropDown="0" showInputMessage="0" showErrorMessage="0" allowBlank="1" type="list">
      <formula1>='Horaires'!$D$9:$D$20</formula1>
    </dataValidation>
    <dataValidation sqref="I5:I29" showDropDown="0" showInputMessage="0" showErrorMessage="0" allowBlank="1" type="list">
      <formula1>='Horaires'!$D$9:$D$20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4"/>
  <sheetViews>
    <sheetView rightToLeft="0" workbookViewId="0">
      <pane xSplit="3" ySplit="4" topLeftCell="D5" activePane="bottomRight" state="frozen"/>
      <selection pane="topRight"/>
      <selection pane="bottomLeft"/>
      <selection pane="bottomRight" activeCell="A1" sqref="A1"/>
    </sheetView>
  </sheetViews>
  <sheetFormatPr baseColWidth="8" defaultRowHeight="15"/>
  <cols>
    <col width="17" customWidth="1" min="1" max="1"/>
    <col width="24" customWidth="1" min="2" max="2"/>
    <col width="24" customWidth="1" min="3" max="3"/>
    <col width="26" customWidth="1" min="4" max="4"/>
    <col width="10" customWidth="1" min="5" max="5"/>
    <col width="10" customWidth="1" min="6" max="6"/>
    <col width="12" customWidth="1" min="7" max="7"/>
    <col width="17" customWidth="1" min="8" max="8"/>
    <col width="10" customWidth="1" min="9" max="9"/>
    <col width="17" customWidth="1" min="10" max="10"/>
    <col width="11" customWidth="1" min="11" max="11"/>
    <col width="11" customWidth="1" min="12" max="12"/>
    <col width="11" customWidth="1" min="13" max="13"/>
    <col width="40" customWidth="1" min="14" max="14"/>
    <col hidden="1" width="13" customWidth="1" min="16" max="16"/>
  </cols>
  <sheetData>
    <row r="1">
      <c r="A1" s="1" t="inlineStr">
        <is>
          <t>Journal des délais de réponse</t>
        </is>
      </c>
    </row>
    <row r="2">
      <c r="A2" s="2" t="inlineStr">
        <is>
          <t>Une ligne par chat transféré à une personne. Copiez les deux heures depuis le chat. Urgence, Responsable, Heures ouvrées ?, Échéance de réponse, Minutes et À temps ? se remplissent seuls.</t>
        </is>
      </c>
    </row>
    <row r="4" ht="44" customHeight="1">
      <c r="A4" s="3" t="inlineStr">
        <is>
          <t>Transféré à</t>
        </is>
      </c>
      <c r="B4" s="3" t="inlineStr">
        <is>
          <t>Source (bot et page, ou canal)</t>
        </is>
      </c>
      <c r="C4" s="3" t="inlineStr">
        <is>
          <t>Sujet</t>
        </is>
      </c>
      <c r="D4" s="3" t="inlineStr">
        <is>
          <t>Client</t>
        </is>
      </c>
      <c r="E4" s="3" t="inlineStr">
        <is>
          <t>Urgence</t>
        </is>
      </c>
      <c r="F4" s="3" t="inlineStr">
        <is>
          <t>Responsable</t>
        </is>
      </c>
      <c r="G4" s="3" t="inlineStr">
        <is>
          <t>Répondu par</t>
        </is>
      </c>
      <c r="H4" s="3" t="inlineStr">
        <is>
          <t>Première réponse humaine à</t>
        </is>
      </c>
      <c r="I4" s="3" t="inlineStr">
        <is>
          <t>Heures ouvrées ?</t>
        </is>
      </c>
      <c r="J4" s="3" t="inlineStr">
        <is>
          <t>Échéance de réponse</t>
        </is>
      </c>
      <c r="K4" s="3" t="inlineStr">
        <is>
          <t>Minutes avant la première réponse</t>
        </is>
      </c>
      <c r="L4" s="3" t="inlineStr">
        <is>
          <t>À temps ?</t>
        </is>
      </c>
      <c r="M4" s="3" t="inlineStr">
        <is>
          <t>Escaladé ?</t>
        </is>
      </c>
      <c r="N4" s="3" t="inlineStr">
        <is>
          <t>Note</t>
        </is>
      </c>
    </row>
    <row r="5">
      <c r="A5" s="11" t="n">
        <v>46293.38472222222</v>
      </c>
      <c r="B5" s="5" t="inlineStr">
        <is>
          <t>Bot de vente, page Tarifs</t>
        </is>
      </c>
      <c r="C5" s="5" t="inlineStr">
        <is>
          <t>Offres et prix</t>
        </is>
      </c>
      <c r="D5" s="5" t="inlineStr">
        <is>
          <t>Visiteur de Salem</t>
        </is>
      </c>
      <c r="E5" s="9">
        <f>IF(C5="","",IFERROR(VLOOKUP(C5,'Tableau de routage'!$A$5:$L$29,3,FALSE),""))</f>
        <v/>
      </c>
      <c r="F5" s="9">
        <f>IF(C5="","",IFERROR(VLOOKUP(C5,'Tableau de routage'!$A$5:$L$29,4,FALSE),""))</f>
        <v/>
      </c>
      <c r="G5" s="6" t="inlineStr">
        <is>
          <t>Theo</t>
        </is>
      </c>
      <c r="H5" s="11" t="n">
        <v>46293.38819444444</v>
      </c>
      <c r="I5" s="9">
        <f>IF(A5="","",IF(AND(WEEKDAY(A5,2)&lt;=5,COUNTIF('Horaires'!$A$9:$A$38,INT(A5))=0,MOD(A5,1)&gt;='Horaires'!$B$4,MOD(A5,1)&lt;'Horaires'!$B$5),"Oui","Non"))</f>
        <v/>
      </c>
      <c r="J5" s="12">
        <f>IF(OR(A5="",C5=""),"",IFERROR(IF(I5="Oui",A5+VLOOKUP(C5,'Tableau de routage'!$A$5:$L$29,6,FALSE)/1440,IF(AND(WEEKDAY(A5,2)&lt;=5,COUNTIF('Horaires'!$A$9:$A$38,INT(A5))=0,MOD(A5,1)&lt;'Horaires'!$B$4),INT(A5),WORKDAY(INT(A5),1,'Horaires'!$A$9:$A$38))+VLOOKUP(C5,'Tableau de routage'!$A$5:$L$29,7,FALSE)),""))</f>
        <v/>
      </c>
      <c r="K5" s="9">
        <f>IF(OR(A5="",H5=""),"",ROUND((H5-A5)*1440,0))</f>
        <v/>
      </c>
      <c r="L5" s="8">
        <f>IF(OR(A5="",J5=""),"",IF(H5="",IF(NOW()&gt;J5,"Sans réponse","En cours"),IF(ROUND((H5-J5)*1440,0)&lt;=0,"À temps","En retard")))</f>
        <v/>
      </c>
      <c r="M5" s="6" t="inlineStr">
        <is>
          <t>Non</t>
        </is>
      </c>
      <c r="N5" s="5" t="inlineStr">
        <is>
          <t>A demandé une remise sur 2 box par semaine</t>
        </is>
      </c>
      <c r="P5" s="10" t="inlineStr">
        <is>
          <t>Oui</t>
        </is>
      </c>
    </row>
    <row r="6">
      <c r="A6" s="11" t="n">
        <v>46293.56944444445</v>
      </c>
      <c r="B6" s="5" t="inlineStr">
        <is>
          <t>Bot d’aide, centre d’aide</t>
        </is>
      </c>
      <c r="C6" s="5" t="inlineStr">
        <is>
          <t>Box manquante ou abîmée</t>
        </is>
      </c>
      <c r="D6" s="5" t="inlineStr">
        <is>
          <t>Erin Cho</t>
        </is>
      </c>
      <c r="E6" s="9">
        <f>IF(C6="","",IFERROR(VLOOKUP(C6,'Tableau de routage'!$A$5:$L$29,3,FALSE),""))</f>
        <v/>
      </c>
      <c r="F6" s="9">
        <f>IF(C6="","",IFERROR(VLOOKUP(C6,'Tableau de routage'!$A$5:$L$29,4,FALSE),""))</f>
        <v/>
      </c>
      <c r="G6" s="6" t="inlineStr">
        <is>
          <t>Mara</t>
        </is>
      </c>
      <c r="H6" s="11" t="n">
        <v>46293.57152777778</v>
      </c>
      <c r="I6" s="9">
        <f>IF(A6="","",IF(AND(WEEKDAY(A6,2)&lt;=5,COUNTIF('Horaires'!$A$9:$A$38,INT(A6))=0,MOD(A6,1)&gt;='Horaires'!$B$4,MOD(A6,1)&lt;'Horaires'!$B$5),"Oui","Non"))</f>
        <v/>
      </c>
      <c r="J6" s="12">
        <f>IF(OR(A6="",C6=""),"",IFERROR(IF(I6="Oui",A6+VLOOKUP(C6,'Tableau de routage'!$A$5:$L$29,6,FALSE)/1440,IF(AND(WEEKDAY(A6,2)&lt;=5,COUNTIF('Horaires'!$A$9:$A$38,INT(A6))=0,MOD(A6,1)&lt;'Horaires'!$B$4),INT(A6),WORKDAY(INT(A6),1,'Horaires'!$A$9:$A$38))+VLOOKUP(C6,'Tableau de routage'!$A$5:$L$29,7,FALSE)),""))</f>
        <v/>
      </c>
      <c r="K6" s="9">
        <f>IF(OR(A6="",H6=""),"",ROUND((H6-A6)*1440,0))</f>
        <v/>
      </c>
      <c r="L6" s="8">
        <f>IF(OR(A6="",J6=""),"",IF(H6="",IF(NOW()&gt;J6,"Sans réponse","En cours"),IF(ROUND((H6-J6)*1440,0)&lt;=0,"À temps","En retard")))</f>
        <v/>
      </c>
      <c r="M6" s="6" t="inlineStr">
        <is>
          <t>Non</t>
        </is>
      </c>
      <c r="N6" s="5" t="inlineStr">
        <is>
          <t>Box laissée devant la porte d’un voisin</t>
        </is>
      </c>
      <c r="P6" s="10" t="inlineStr">
        <is>
          <t>Non</t>
        </is>
      </c>
    </row>
    <row r="7">
      <c r="A7" s="11" t="n">
        <v>46294.70277777778</v>
      </c>
      <c r="B7" s="5" t="inlineStr">
        <is>
          <t>Bot d’aide, lien de paiement</t>
        </is>
      </c>
      <c r="C7" s="5" t="inlineStr">
        <is>
          <t>Paiement en ligne</t>
        </is>
      </c>
      <c r="D7" s="5" t="inlineStr">
        <is>
          <t>Sam Ortega</t>
        </is>
      </c>
      <c r="E7" s="9">
        <f>IF(C7="","",IFERROR(VLOOKUP(C7,'Tableau de routage'!$A$5:$L$29,3,FALSE),""))</f>
        <v/>
      </c>
      <c r="F7" s="9">
        <f>IF(C7="","",IFERROR(VLOOKUP(C7,'Tableau de routage'!$A$5:$L$29,4,FALSE),""))</f>
        <v/>
      </c>
      <c r="G7" s="6" t="inlineStr">
        <is>
          <t>Mara</t>
        </is>
      </c>
      <c r="H7" s="11" t="n">
        <v>46294.7125</v>
      </c>
      <c r="I7" s="9">
        <f>IF(A7="","",IF(AND(WEEKDAY(A7,2)&lt;=5,COUNTIF('Horaires'!$A$9:$A$38,INT(A7))=0,MOD(A7,1)&gt;='Horaires'!$B$4,MOD(A7,1)&lt;'Horaires'!$B$5),"Oui","Non"))</f>
        <v/>
      </c>
      <c r="J7" s="12">
        <f>IF(OR(A7="",C7=""),"",IFERROR(IF(I7="Oui",A7+VLOOKUP(C7,'Tableau de routage'!$A$5:$L$29,6,FALSE)/1440,IF(AND(WEEKDAY(A7,2)&lt;=5,COUNTIF('Horaires'!$A$9:$A$38,INT(A7))=0,MOD(A7,1)&lt;'Horaires'!$B$4),INT(A7),WORKDAY(INT(A7),1,'Horaires'!$A$9:$A$38))+VLOOKUP(C7,'Tableau de routage'!$A$5:$L$29,7,FALSE)),""))</f>
        <v/>
      </c>
      <c r="K7" s="9">
        <f>IF(OR(A7="",H7=""),"",ROUND((H7-A7)*1440,0))</f>
        <v/>
      </c>
      <c r="L7" s="8">
        <f>IF(OR(A7="",J7=""),"",IF(H7="",IF(NOW()&gt;J7,"Sans réponse","En cours"),IF(ROUND((H7-J7)*1440,0)&lt;=0,"À temps","En retard")))</f>
        <v/>
      </c>
      <c r="M7" s="6" t="inlineStr">
        <is>
          <t>Non</t>
        </is>
      </c>
      <c r="N7" s="5" t="inlineStr">
        <is>
          <t>Carte refusée ; transféré 8 minutes avant la fermeture</t>
        </is>
      </c>
    </row>
    <row r="8">
      <c r="A8" s="11" t="n">
        <v>46295.42013888889</v>
      </c>
      <c r="B8" s="5" t="inlineStr">
        <is>
          <t>Bot de vente, page produit</t>
        </is>
      </c>
      <c r="C8" s="5" t="inlineStr">
        <is>
          <t>Menu et ingrédients</t>
        </is>
      </c>
      <c r="D8" s="5" t="inlineStr">
        <is>
          <t>Visiteur de Vancouver (État de Washington)</t>
        </is>
      </c>
      <c r="E8" s="9">
        <f>IF(C8="","",IFERROR(VLOOKUP(C8,'Tableau de routage'!$A$5:$L$29,3,FALSE),""))</f>
        <v/>
      </c>
      <c r="F8" s="9">
        <f>IF(C8="","",IFERROR(VLOOKUP(C8,'Tableau de routage'!$A$5:$L$29,4,FALSE),""))</f>
        <v/>
      </c>
      <c r="G8" s="6" t="inlineStr">
        <is>
          <t>Mara</t>
        </is>
      </c>
      <c r="H8" s="11" t="n">
        <v>46295.425</v>
      </c>
      <c r="I8" s="9">
        <f>IF(A8="","",IF(AND(WEEKDAY(A8,2)&lt;=5,COUNTIF('Horaires'!$A$9:$A$38,INT(A8))=0,MOD(A8,1)&gt;='Horaires'!$B$4,MOD(A8,1)&lt;'Horaires'!$B$5),"Oui","Non"))</f>
        <v/>
      </c>
      <c r="J8" s="12">
        <f>IF(OR(A8="",C8=""),"",IFERROR(IF(I8="Oui",A8+VLOOKUP(C8,'Tableau de routage'!$A$5:$L$29,6,FALSE)/1440,IF(AND(WEEKDAY(A8,2)&lt;=5,COUNTIF('Horaires'!$A$9:$A$38,INT(A8))=0,MOD(A8,1)&lt;'Horaires'!$B$4),INT(A8),WORKDAY(INT(A8),1,'Horaires'!$A$9:$A$38))+VLOOKUP(C8,'Tableau de routage'!$A$5:$L$29,7,FALSE)),""))</f>
        <v/>
      </c>
      <c r="K8" s="9">
        <f>IF(OR(A8="",H8=""),"",ROUND((H8-A8)*1440,0))</f>
        <v/>
      </c>
      <c r="L8" s="8">
        <f>IF(OR(A8="",J8=""),"",IF(H8="",IF(NOW()&gt;J8,"Sans réponse","En cours"),IF(ROUND((H8-J8)*1440,0)&lt;=0,"À temps","En retard")))</f>
        <v/>
      </c>
      <c r="M8" s="6" t="inlineStr">
        <is>
          <t>Non</t>
        </is>
      </c>
      <c r="N8" s="5" t="inlineStr">
        <is>
          <t>Question sur une allergie au sésame ; Theo en appel, le suppléant a répondu</t>
        </is>
      </c>
    </row>
    <row r="9">
      <c r="A9" s="11" t="n">
        <v>46296.47916666666</v>
      </c>
      <c r="B9" s="5" t="inlineStr">
        <is>
          <t>Bot d’aide, WhatsApp</t>
        </is>
      </c>
      <c r="C9" s="5" t="inlineStr">
        <is>
          <t>Facturation, pauses et résiliations</t>
        </is>
      </c>
      <c r="D9" s="5" t="inlineStr">
        <is>
          <t>Dev Patel</t>
        </is>
      </c>
      <c r="E9" s="9">
        <f>IF(C9="","",IFERROR(VLOOKUP(C9,'Tableau de routage'!$A$5:$L$29,3,FALSE),""))</f>
        <v/>
      </c>
      <c r="F9" s="9">
        <f>IF(C9="","",IFERROR(VLOOKUP(C9,'Tableau de routage'!$A$5:$L$29,4,FALSE),""))</f>
        <v/>
      </c>
      <c r="G9" s="6" t="inlineStr">
        <is>
          <t>Nadia</t>
        </is>
      </c>
      <c r="H9" s="11" t="n">
        <v>46296.52152777778</v>
      </c>
      <c r="I9" s="9">
        <f>IF(A9="","",IF(AND(WEEKDAY(A9,2)&lt;=5,COUNTIF('Horaires'!$A$9:$A$38,INT(A9))=0,MOD(A9,1)&gt;='Horaires'!$B$4,MOD(A9,1)&lt;'Horaires'!$B$5),"Oui","Non"))</f>
        <v/>
      </c>
      <c r="J9" s="12">
        <f>IF(OR(A9="",C9=""),"",IFERROR(IF(I9="Oui",A9+VLOOKUP(C9,'Tableau de routage'!$A$5:$L$29,6,FALSE)/1440,IF(AND(WEEKDAY(A9,2)&lt;=5,COUNTIF('Horaires'!$A$9:$A$38,INT(A9))=0,MOD(A9,1)&lt;'Horaires'!$B$4),INT(A9),WORKDAY(INT(A9),1,'Horaires'!$A$9:$A$38))+VLOOKUP(C9,'Tableau de routage'!$A$5:$L$29,7,FALSE)),""))</f>
        <v/>
      </c>
      <c r="K9" s="9">
        <f>IF(OR(A9="",H9=""),"",ROUND((H9-A9)*1440,0))</f>
        <v/>
      </c>
      <c r="L9" s="8">
        <f>IF(OR(A9="",J9=""),"",IF(H9="",IF(NOW()&gt;J9,"Sans réponse","En cours"),IF(ROUND((H9-J9)*1440,0)&lt;=0,"À temps","En retard")))</f>
        <v/>
      </c>
      <c r="M9" s="6" t="inlineStr">
        <is>
          <t>Oui</t>
        </is>
      </c>
      <c r="N9" s="5" t="inlineStr">
        <is>
          <t>A demandé une facture ; Mara en visite chez un fournisseur</t>
        </is>
      </c>
    </row>
    <row r="10">
      <c r="A10" s="11" t="n">
        <v>46297.82291666666</v>
      </c>
      <c r="B10" s="5" t="inlineStr">
        <is>
          <t>Bot d’aide, centre d’aide</t>
        </is>
      </c>
      <c r="C10" s="5" t="inlineStr">
        <is>
          <t>Box manquante ou abîmée</t>
        </is>
      </c>
      <c r="D10" s="5" t="inlineStr">
        <is>
          <t>Owen Hale</t>
        </is>
      </c>
      <c r="E10" s="9">
        <f>IF(C10="","",IFERROR(VLOOKUP(C10,'Tableau de routage'!$A$5:$L$29,3,FALSE),""))</f>
        <v/>
      </c>
      <c r="F10" s="9">
        <f>IF(C10="","",IFERROR(VLOOKUP(C10,'Tableau de routage'!$A$5:$L$29,4,FALSE),""))</f>
        <v/>
      </c>
      <c r="G10" s="6" t="inlineStr">
        <is>
          <t>Mara</t>
        </is>
      </c>
      <c r="H10" s="11" t="n">
        <v>46300.3625</v>
      </c>
      <c r="I10" s="9">
        <f>IF(A10="","",IF(AND(WEEKDAY(A10,2)&lt;=5,COUNTIF('Horaires'!$A$9:$A$38,INT(A10))=0,MOD(A10,1)&gt;='Horaires'!$B$4,MOD(A10,1)&lt;'Horaires'!$B$5),"Oui","Non"))</f>
        <v/>
      </c>
      <c r="J10" s="12">
        <f>IF(OR(A10="",C10=""),"",IFERROR(IF(I10="Oui",A10+VLOOKUP(C10,'Tableau de routage'!$A$5:$L$29,6,FALSE)/1440,IF(AND(WEEKDAY(A10,2)&lt;=5,COUNTIF('Horaires'!$A$9:$A$38,INT(A10))=0,MOD(A10,1)&lt;'Horaires'!$B$4),INT(A10),WORKDAY(INT(A10),1,'Horaires'!$A$9:$A$38))+VLOOKUP(C10,'Tableau de routage'!$A$5:$L$29,7,FALSE)),""))</f>
        <v/>
      </c>
      <c r="K10" s="9">
        <f>IF(OR(A10="",H10=""),"",ROUND((H10-A10)*1440,0))</f>
        <v/>
      </c>
      <c r="L10" s="8">
        <f>IF(OR(A10="",J10=""),"",IF(H10="",IF(NOW()&gt;J10,"Sans réponse","En cours"),IF(ROUND((H10-J10)*1440,0)&lt;=0,"À temps","En retard")))</f>
        <v/>
      </c>
      <c r="M10" s="6" t="inlineStr">
        <is>
          <t>Non</t>
        </is>
      </c>
      <c r="N10" s="5" t="inlineStr">
        <is>
          <t>Box abîmée le vendredi soir ; nouvelle box envoyée mardi</t>
        </is>
      </c>
    </row>
    <row r="11">
      <c r="A11" s="11" t="n">
        <v>46298.43055555555</v>
      </c>
      <c r="B11" s="5" t="inlineStr">
        <is>
          <t>Bot de vente, page Tarifs</t>
        </is>
      </c>
      <c r="C11" s="5" t="inlineStr">
        <is>
          <t>Offres et prix</t>
        </is>
      </c>
      <c r="D11" s="5" t="inlineStr">
        <is>
          <t>Visiteur d’Eugene</t>
        </is>
      </c>
      <c r="E11" s="9">
        <f>IF(C11="","",IFERROR(VLOOKUP(C11,'Tableau de routage'!$A$5:$L$29,3,FALSE),""))</f>
        <v/>
      </c>
      <c r="F11" s="9">
        <f>IF(C11="","",IFERROR(VLOOKUP(C11,'Tableau de routage'!$A$5:$L$29,4,FALSE),""))</f>
        <v/>
      </c>
      <c r="G11" s="6" t="n"/>
      <c r="H11" s="11" t="n"/>
      <c r="I11" s="9">
        <f>IF(A11="","",IF(AND(WEEKDAY(A11,2)&lt;=5,COUNTIF('Horaires'!$A$9:$A$38,INT(A11))=0,MOD(A11,1)&gt;='Horaires'!$B$4,MOD(A11,1)&lt;'Horaires'!$B$5),"Oui","Non"))</f>
        <v/>
      </c>
      <c r="J11" s="12">
        <f>IF(OR(A11="",C11=""),"",IFERROR(IF(I11="Oui",A11+VLOOKUP(C11,'Tableau de routage'!$A$5:$L$29,6,FALSE)/1440,IF(AND(WEEKDAY(A11,2)&lt;=5,COUNTIF('Horaires'!$A$9:$A$38,INT(A11))=0,MOD(A11,1)&lt;'Horaires'!$B$4),INT(A11),WORKDAY(INT(A11),1,'Horaires'!$A$9:$A$38))+VLOOKUP(C11,'Tableau de routage'!$A$5:$L$29,7,FALSE)),""))</f>
        <v/>
      </c>
      <c r="K11" s="9">
        <f>IF(OR(A11="",H11=""),"",ROUND((H11-A11)*1440,0))</f>
        <v/>
      </c>
      <c r="L11" s="8">
        <f>IF(OR(A11="",J11=""),"",IF(H11="",IF(NOW()&gt;J11,"Sans réponse","En cours"),IF(ROUND((H11-J11)*1440,0)&lt;=0,"À temps","En retard")))</f>
        <v/>
      </c>
      <c r="M11" s="6" t="inlineStr">
        <is>
          <t>Non</t>
        </is>
      </c>
      <c r="N11" s="5" t="inlineStr">
        <is>
          <t>N’a pas laissé d’e-mail ; repéré lors du contrôle hebdomadaire</t>
        </is>
      </c>
    </row>
    <row r="12">
      <c r="A12" s="11" t="n">
        <v>46300.34027777778</v>
      </c>
      <c r="B12" s="5" t="inlineStr">
        <is>
          <t>Bot d’aide, centre d’aide</t>
        </is>
      </c>
      <c r="C12" s="5" t="inlineStr">
        <is>
          <t>Facturation, pauses et résiliations</t>
        </is>
      </c>
      <c r="D12" s="5" t="inlineStr">
        <is>
          <t>Ruth Adler</t>
        </is>
      </c>
      <c r="E12" s="9">
        <f>IF(C12="","",IFERROR(VLOOKUP(C12,'Tableau de routage'!$A$5:$L$29,3,FALSE),""))</f>
        <v/>
      </c>
      <c r="F12" s="9">
        <f>IF(C12="","",IFERROR(VLOOKUP(C12,'Tableau de routage'!$A$5:$L$29,4,FALSE),""))</f>
        <v/>
      </c>
      <c r="G12" s="6" t="inlineStr">
        <is>
          <t>Mara</t>
        </is>
      </c>
      <c r="H12" s="11" t="n">
        <v>46300.35486111111</v>
      </c>
      <c r="I12" s="9">
        <f>IF(A12="","",IF(AND(WEEKDAY(A12,2)&lt;=5,COUNTIF('Horaires'!$A$9:$A$38,INT(A12))=0,MOD(A12,1)&gt;='Horaires'!$B$4,MOD(A12,1)&lt;'Horaires'!$B$5),"Oui","Non"))</f>
        <v/>
      </c>
      <c r="J12" s="12">
        <f>IF(OR(A12="",C12=""),"",IFERROR(IF(I12="Oui",A12+VLOOKUP(C12,'Tableau de routage'!$A$5:$L$29,6,FALSE)/1440,IF(AND(WEEKDAY(A12,2)&lt;=5,COUNTIF('Horaires'!$A$9:$A$38,INT(A12))=0,MOD(A12,1)&lt;'Horaires'!$B$4),INT(A12),WORKDAY(INT(A12),1,'Horaires'!$A$9:$A$38))+VLOOKUP(C12,'Tableau de routage'!$A$5:$L$29,7,FALSE)),""))</f>
        <v/>
      </c>
      <c r="K12" s="9">
        <f>IF(OR(A12="",H12=""),"",ROUND((H12-A12)*1440,0))</f>
        <v/>
      </c>
      <c r="L12" s="8">
        <f>IF(OR(A12="",J12=""),"",IF(H12="",IF(NOW()&gt;J12,"Sans réponse","En cours"),IF(ROUND((H12-J12)*1440,0)&lt;=0,"À temps","En retard")))</f>
        <v/>
      </c>
      <c r="M12" s="6" t="inlineStr">
        <is>
          <t>Non</t>
        </is>
      </c>
      <c r="N12" s="5" t="inlineStr">
        <is>
          <t>Pause de 2 semaines</t>
        </is>
      </c>
    </row>
    <row r="13">
      <c r="A13" s="11" t="n">
        <v>46300.62638888889</v>
      </c>
      <c r="B13" s="5" t="inlineStr">
        <is>
          <t>Bot de vente, page Tarifs</t>
        </is>
      </c>
      <c r="C13" s="5" t="inlineStr">
        <is>
          <t>Commandes entreprises et en gros</t>
        </is>
      </c>
      <c r="D13" s="5" t="inlineStr">
        <is>
          <t>Leo Grant, Ash Street Studios</t>
        </is>
      </c>
      <c r="E13" s="9">
        <f>IF(C13="","",IFERROR(VLOOKUP(C13,'Tableau de routage'!$A$5:$L$29,3,FALSE),""))</f>
        <v/>
      </c>
      <c r="F13" s="9">
        <f>IF(C13="","",IFERROR(VLOOKUP(C13,'Tableau de routage'!$A$5:$L$29,4,FALSE),""))</f>
        <v/>
      </c>
      <c r="G13" s="6" t="inlineStr">
        <is>
          <t>Nadia</t>
        </is>
      </c>
      <c r="H13" s="11" t="n">
        <v>46300.64166666667</v>
      </c>
      <c r="I13" s="9">
        <f>IF(A13="","",IF(AND(WEEKDAY(A13,2)&lt;=5,COUNTIF('Horaires'!$A$9:$A$38,INT(A13))=0,MOD(A13,1)&gt;='Horaires'!$B$4,MOD(A13,1)&lt;'Horaires'!$B$5),"Oui","Non"))</f>
        <v/>
      </c>
      <c r="J13" s="12">
        <f>IF(OR(A13="",C13=""),"",IFERROR(IF(I13="Oui",A13+VLOOKUP(C13,'Tableau de routage'!$A$5:$L$29,6,FALSE)/1440,IF(AND(WEEKDAY(A13,2)&lt;=5,COUNTIF('Horaires'!$A$9:$A$38,INT(A13))=0,MOD(A13,1)&lt;'Horaires'!$B$4),INT(A13),WORKDAY(INT(A13),1,'Horaires'!$A$9:$A$38))+VLOOKUP(C13,'Tableau de routage'!$A$5:$L$29,7,FALSE)),""))</f>
        <v/>
      </c>
      <c r="K13" s="9">
        <f>IF(OR(A13="",H13=""),"",ROUND((H13-A13)*1440,0))</f>
        <v/>
      </c>
      <c r="L13" s="8">
        <f>IF(OR(A13="",J13=""),"",IF(H13="",IF(NOW()&gt;J13,"Sans réponse","En cours"),IF(ROUND((H13-J13)*1440,0)&lt;=0,"À temps","En retard")))</f>
        <v/>
      </c>
      <c r="M13" s="6" t="inlineStr">
        <is>
          <t>Oui</t>
        </is>
      </c>
      <c r="N13" s="5" t="inlineStr">
        <is>
          <t>Theo en livraison ; Nadia a répondu après le délai d’escalade</t>
        </is>
      </c>
    </row>
    <row r="14">
      <c r="A14" s="11" t="n">
        <v>46301.51041666666</v>
      </c>
      <c r="B14" s="5" t="inlineStr">
        <is>
          <t>Bot d’aide, lien de paiement</t>
        </is>
      </c>
      <c r="C14" s="5" t="inlineStr">
        <is>
          <t>Paiement en ligne</t>
        </is>
      </c>
      <c r="D14" s="5" t="inlineStr">
        <is>
          <t>Ivy Chen</t>
        </is>
      </c>
      <c r="E14" s="9">
        <f>IF(C14="","",IFERROR(VLOOKUP(C14,'Tableau de routage'!$A$5:$L$29,3,FALSE),""))</f>
        <v/>
      </c>
      <c r="F14" s="9">
        <f>IF(C14="","",IFERROR(VLOOKUP(C14,'Tableau de routage'!$A$5:$L$29,4,FALSE),""))</f>
        <v/>
      </c>
      <c r="G14" s="6" t="inlineStr">
        <is>
          <t>Mara</t>
        </is>
      </c>
      <c r="H14" s="11" t="n">
        <v>46301.5125</v>
      </c>
      <c r="I14" s="9">
        <f>IF(A14="","",IF(AND(WEEKDAY(A14,2)&lt;=5,COUNTIF('Horaires'!$A$9:$A$38,INT(A14))=0,MOD(A14,1)&gt;='Horaires'!$B$4,MOD(A14,1)&lt;'Horaires'!$B$5),"Oui","Non"))</f>
        <v/>
      </c>
      <c r="J14" s="12">
        <f>IF(OR(A14="",C14=""),"",IFERROR(IF(I14="Oui",A14+VLOOKUP(C14,'Tableau de routage'!$A$5:$L$29,6,FALSE)/1440,IF(AND(WEEKDAY(A14,2)&lt;=5,COUNTIF('Horaires'!$A$9:$A$38,INT(A14))=0,MOD(A14,1)&lt;'Horaires'!$B$4),INT(A14),WORKDAY(INT(A14),1,'Horaires'!$A$9:$A$38))+VLOOKUP(C14,'Tableau de routage'!$A$5:$L$29,7,FALSE)),""))</f>
        <v/>
      </c>
      <c r="K14" s="9">
        <f>IF(OR(A14="",H14=""),"",ROUND((H14-A14)*1440,0))</f>
        <v/>
      </c>
      <c r="L14" s="8">
        <f>IF(OR(A14="",J14=""),"",IF(H14="",IF(NOW()&gt;J14,"Sans réponse","En cours"),IF(ROUND((H14-J14)*1440,0)&lt;=0,"À temps","En retard")))</f>
        <v/>
      </c>
      <c r="M14" s="6" t="inlineStr">
        <is>
          <t>Non</t>
        </is>
      </c>
      <c r="N14" s="5" t="inlineStr">
        <is>
          <t>Code promo expiré</t>
        </is>
      </c>
    </row>
    <row r="15">
      <c r="A15" s="11" t="n">
        <v>46302.40833333333</v>
      </c>
      <c r="B15" s="5" t="inlineStr">
        <is>
          <t>Bot d’aide, centre d’aide</t>
        </is>
      </c>
      <c r="C15" s="5" t="inlineStr">
        <is>
          <t>Box manquante ou abîmée</t>
        </is>
      </c>
      <c r="D15" s="5" t="inlineStr">
        <is>
          <t>Paul Novak</t>
        </is>
      </c>
      <c r="E15" s="9">
        <f>IF(C15="","",IFERROR(VLOOKUP(C15,'Tableau de routage'!$A$5:$L$29,3,FALSE),""))</f>
        <v/>
      </c>
      <c r="F15" s="9">
        <f>IF(C15="","",IFERROR(VLOOKUP(C15,'Tableau de routage'!$A$5:$L$29,4,FALSE),""))</f>
        <v/>
      </c>
      <c r="G15" s="6" t="inlineStr">
        <is>
          <t>Theo</t>
        </is>
      </c>
      <c r="H15" s="11" t="n">
        <v>46302.41111111111</v>
      </c>
      <c r="I15" s="9">
        <f>IF(A15="","",IF(AND(WEEKDAY(A15,2)&lt;=5,COUNTIF('Horaires'!$A$9:$A$38,INT(A15))=0,MOD(A15,1)&gt;='Horaires'!$B$4,MOD(A15,1)&lt;'Horaires'!$B$5),"Oui","Non"))</f>
        <v/>
      </c>
      <c r="J15" s="12">
        <f>IF(OR(A15="",C15=""),"",IFERROR(IF(I15="Oui",A15+VLOOKUP(C15,'Tableau de routage'!$A$5:$L$29,6,FALSE)/1440,IF(AND(WEEKDAY(A15,2)&lt;=5,COUNTIF('Horaires'!$A$9:$A$38,INT(A15))=0,MOD(A15,1)&lt;'Horaires'!$B$4),INT(A15),WORKDAY(INT(A15),1,'Horaires'!$A$9:$A$38))+VLOOKUP(C15,'Tableau de routage'!$A$5:$L$29,7,FALSE)),""))</f>
        <v/>
      </c>
      <c r="K15" s="9">
        <f>IF(OR(A15="",H15=""),"",ROUND((H15-A15)*1440,0))</f>
        <v/>
      </c>
      <c r="L15" s="8">
        <f>IF(OR(A15="",J15=""),"",IF(H15="",IF(NOW()&gt;J15,"Sans réponse","En cours"),IF(ROUND((H15-J15)*1440,0)&lt;=0,"À temps","En retard")))</f>
        <v/>
      </c>
      <c r="M15" s="6" t="inlineStr">
        <is>
          <t>Non</t>
        </is>
      </c>
      <c r="N15" s="5" t="inlineStr">
        <is>
          <t>Mara en arrêt maladie ; le suppléant a répondu</t>
        </is>
      </c>
    </row>
    <row r="16">
      <c r="A16" s="11" t="n">
        <v>46302.77083333334</v>
      </c>
      <c r="B16" s="5" t="inlineStr">
        <is>
          <t>Bot d’aide, page Contact</t>
        </is>
      </c>
      <c r="C16" s="5" t="inlineStr">
        <is>
          <t>Partenariats et presse</t>
        </is>
      </c>
      <c r="D16" s="5" t="inlineStr">
        <is>
          <t>Rivertown Food Co-op</t>
        </is>
      </c>
      <c r="E16" s="9">
        <f>IF(C16="","",IFERROR(VLOOKUP(C16,'Tableau de routage'!$A$5:$L$29,3,FALSE),""))</f>
        <v/>
      </c>
      <c r="F16" s="9">
        <f>IF(C16="","",IFERROR(VLOOKUP(C16,'Tableau de routage'!$A$5:$L$29,4,FALSE),""))</f>
        <v/>
      </c>
      <c r="G16" s="6" t="inlineStr">
        <is>
          <t>Nadia</t>
        </is>
      </c>
      <c r="H16" s="11" t="n">
        <v>46303.44444444445</v>
      </c>
      <c r="I16" s="9">
        <f>IF(A16="","",IF(AND(WEEKDAY(A16,2)&lt;=5,COUNTIF('Horaires'!$A$9:$A$38,INT(A16))=0,MOD(A16,1)&gt;='Horaires'!$B$4,MOD(A16,1)&lt;'Horaires'!$B$5),"Oui","Non"))</f>
        <v/>
      </c>
      <c r="J16" s="12">
        <f>IF(OR(A16="",C16=""),"",IFERROR(IF(I16="Oui",A16+VLOOKUP(C16,'Tableau de routage'!$A$5:$L$29,6,FALSE)/1440,IF(AND(WEEKDAY(A16,2)&lt;=5,COUNTIF('Horaires'!$A$9:$A$38,INT(A16))=0,MOD(A16,1)&lt;'Horaires'!$B$4),INT(A16),WORKDAY(INT(A16),1,'Horaires'!$A$9:$A$38))+VLOOKUP(C16,'Tableau de routage'!$A$5:$L$29,7,FALSE)),""))</f>
        <v/>
      </c>
      <c r="K16" s="9">
        <f>IF(OR(A16="",H16=""),"",ROUND((H16-A16)*1440,0))</f>
        <v/>
      </c>
      <c r="L16" s="8">
        <f>IF(OR(A16="",J16=""),"",IF(H16="",IF(NOW()&gt;J16,"Sans réponse","En cours"),IF(ROUND((H16-J16)*1440,0)&lt;=0,"À temps","En retard")))</f>
        <v/>
      </c>
      <c r="M16" s="6" t="inlineStr">
        <is>
          <t>Non</t>
        </is>
      </c>
      <c r="N16" s="5" t="inlineStr">
        <is>
          <t>Question sur la vente en gros</t>
        </is>
      </c>
    </row>
    <row r="17">
      <c r="A17" s="11" t="n">
        <v>46303.49444444444</v>
      </c>
      <c r="B17" s="5" t="inlineStr">
        <is>
          <t>Bot de vente, page Tarifs</t>
        </is>
      </c>
      <c r="C17" s="5" t="inlineStr">
        <is>
          <t>Commandes entreprises et en gros</t>
        </is>
      </c>
      <c r="D17" s="5" t="inlineStr">
        <is>
          <t>Jordan Ellis, Fieldnote Architects</t>
        </is>
      </c>
      <c r="E17" s="9">
        <f>IF(C17="","",IFERROR(VLOOKUP(C17,'Tableau de routage'!$A$5:$L$29,3,FALSE),""))</f>
        <v/>
      </c>
      <c r="F17" s="9">
        <f>IF(C17="","",IFERROR(VLOOKUP(C17,'Tableau de routage'!$A$5:$L$29,4,FALSE),""))</f>
        <v/>
      </c>
      <c r="G17" s="6" t="inlineStr">
        <is>
          <t>Theo</t>
        </is>
      </c>
      <c r="H17" s="11" t="n">
        <v>46303.49722222222</v>
      </c>
      <c r="I17" s="9">
        <f>IF(A17="","",IF(AND(WEEKDAY(A17,2)&lt;=5,COUNTIF('Horaires'!$A$9:$A$38,INT(A17))=0,MOD(A17,1)&gt;='Horaires'!$B$4,MOD(A17,1)&lt;'Horaires'!$B$5),"Oui","Non"))</f>
        <v/>
      </c>
      <c r="J17" s="12">
        <f>IF(OR(A17="",C17=""),"",IFERROR(IF(I17="Oui",A17+VLOOKUP(C17,'Tableau de routage'!$A$5:$L$29,6,FALSE)/1440,IF(AND(WEEKDAY(A17,2)&lt;=5,COUNTIF('Horaires'!$A$9:$A$38,INT(A17))=0,MOD(A17,1)&lt;'Horaires'!$B$4),INT(A17),WORKDAY(INT(A17),1,'Horaires'!$A$9:$A$38))+VLOOKUP(C17,'Tableau de routage'!$A$5:$L$29,7,FALSE)),""))</f>
        <v/>
      </c>
      <c r="K17" s="9">
        <f>IF(OR(A17="",H17=""),"",ROUND((H17-A17)*1440,0))</f>
        <v/>
      </c>
      <c r="L17" s="8">
        <f>IF(OR(A17="",J17=""),"",IF(H17="",IF(NOW()&gt;J17,"Sans réponse","En cours"),IF(ROUND((H17-J17)*1440,0)&lt;=0,"À temps","En retard")))</f>
        <v/>
      </c>
      <c r="M17" s="6" t="inlineStr">
        <is>
          <t>Non</t>
        </is>
      </c>
      <c r="N17" s="5" t="inlineStr">
        <is>
          <t>Déjeuners au bureau pour 24 ; appel avec Nadia à 14 h 30</t>
        </is>
      </c>
    </row>
    <row r="18">
      <c r="A18" s="11" t="n">
        <v>46304.68055555555</v>
      </c>
      <c r="B18" s="5" t="inlineStr">
        <is>
          <t>Bot d’aide, WhatsApp</t>
        </is>
      </c>
      <c r="C18" s="5" t="inlineStr">
        <is>
          <t>Facturation, pauses et résiliations</t>
        </is>
      </c>
      <c r="D18" s="5" t="inlineStr">
        <is>
          <t>Nora Diaz</t>
        </is>
      </c>
      <c r="E18" s="9">
        <f>IF(C18="","",IFERROR(VLOOKUP(C18,'Tableau de routage'!$A$5:$L$29,3,FALSE),""))</f>
        <v/>
      </c>
      <c r="F18" s="9">
        <f>IF(C18="","",IFERROR(VLOOKUP(C18,'Tableau de routage'!$A$5:$L$29,4,FALSE),""))</f>
        <v/>
      </c>
      <c r="G18" s="6" t="inlineStr">
        <is>
          <t>Mara</t>
        </is>
      </c>
      <c r="H18" s="11" t="n">
        <v>46304.69513888889</v>
      </c>
      <c r="I18" s="9">
        <f>IF(A18="","",IF(AND(WEEKDAY(A18,2)&lt;=5,COUNTIF('Horaires'!$A$9:$A$38,INT(A18))=0,MOD(A18,1)&gt;='Horaires'!$B$4,MOD(A18,1)&lt;'Horaires'!$B$5),"Oui","Non"))</f>
        <v/>
      </c>
      <c r="J18" s="12">
        <f>IF(OR(A18="",C18=""),"",IFERROR(IF(I18="Oui",A18+VLOOKUP(C18,'Tableau de routage'!$A$5:$L$29,6,FALSE)/1440,IF(AND(WEEKDAY(A18,2)&lt;=5,COUNTIF('Horaires'!$A$9:$A$38,INT(A18))=0,MOD(A18,1)&lt;'Horaires'!$B$4),INT(A18),WORKDAY(INT(A18),1,'Horaires'!$A$9:$A$38))+VLOOKUP(C18,'Tableau de routage'!$A$5:$L$29,7,FALSE)),""))</f>
        <v/>
      </c>
      <c r="K18" s="9">
        <f>IF(OR(A18="",H18=""),"",ROUND((H18-A18)*1440,0))</f>
        <v/>
      </c>
      <c r="L18" s="8">
        <f>IF(OR(A18="",J18=""),"",IF(H18="",IF(NOW()&gt;J18,"Sans réponse","En cours"),IF(ROUND((H18-J18)*1440,0)&lt;=0,"À temps","En retard")))</f>
        <v/>
      </c>
      <c r="M18" s="6" t="inlineStr">
        <is>
          <t>Non</t>
        </is>
      </c>
      <c r="N18" s="5" t="inlineStr">
        <is>
          <t>A changé sa date de facturation</t>
        </is>
      </c>
    </row>
    <row r="19">
      <c r="A19" s="11" t="n"/>
      <c r="B19" s="5" t="n"/>
      <c r="C19" s="5" t="n"/>
      <c r="D19" s="5" t="n"/>
      <c r="E19" s="9">
        <f>IF(C19="","",IFERROR(VLOOKUP(C19,'Tableau de routage'!$A$5:$L$29,3,FALSE),""))</f>
        <v/>
      </c>
      <c r="F19" s="9">
        <f>IF(C19="","",IFERROR(VLOOKUP(C19,'Tableau de routage'!$A$5:$L$29,4,FALSE),""))</f>
        <v/>
      </c>
      <c r="G19" s="6" t="n"/>
      <c r="H19" s="11" t="n"/>
      <c r="I19" s="9">
        <f>IF(A19="","",IF(AND(WEEKDAY(A19,2)&lt;=5,COUNTIF('Horaires'!$A$9:$A$38,INT(A19))=0,MOD(A19,1)&gt;='Horaires'!$B$4,MOD(A19,1)&lt;'Horaires'!$B$5),"Oui","Non"))</f>
        <v/>
      </c>
      <c r="J19" s="12">
        <f>IF(OR(A19="",C19=""),"",IFERROR(IF(I19="Oui",A19+VLOOKUP(C19,'Tableau de routage'!$A$5:$L$29,6,FALSE)/1440,IF(AND(WEEKDAY(A19,2)&lt;=5,COUNTIF('Horaires'!$A$9:$A$38,INT(A19))=0,MOD(A19,1)&lt;'Horaires'!$B$4),INT(A19),WORKDAY(INT(A19),1,'Horaires'!$A$9:$A$38))+VLOOKUP(C19,'Tableau de routage'!$A$5:$L$29,7,FALSE)),""))</f>
        <v/>
      </c>
      <c r="K19" s="9">
        <f>IF(OR(A19="",H19=""),"",ROUND((H19-A19)*1440,0))</f>
        <v/>
      </c>
      <c r="L19" s="8">
        <f>IF(OR(A19="",J19=""),"",IF(H19="",IF(NOW()&gt;J19,"Sans réponse","En cours"),IF(ROUND((H19-J19)*1440,0)&lt;=0,"À temps","En retard")))</f>
        <v/>
      </c>
      <c r="M19" s="6" t="n"/>
      <c r="N19" s="5" t="n"/>
    </row>
    <row r="20">
      <c r="A20" s="11" t="n"/>
      <c r="B20" s="5" t="n"/>
      <c r="C20" s="5" t="n"/>
      <c r="D20" s="5" t="n"/>
      <c r="E20" s="9">
        <f>IF(C20="","",IFERROR(VLOOKUP(C20,'Tableau de routage'!$A$5:$L$29,3,FALSE),""))</f>
        <v/>
      </c>
      <c r="F20" s="9">
        <f>IF(C20="","",IFERROR(VLOOKUP(C20,'Tableau de routage'!$A$5:$L$29,4,FALSE),""))</f>
        <v/>
      </c>
      <c r="G20" s="6" t="n"/>
      <c r="H20" s="11" t="n"/>
      <c r="I20" s="9">
        <f>IF(A20="","",IF(AND(WEEKDAY(A20,2)&lt;=5,COUNTIF('Horaires'!$A$9:$A$38,INT(A20))=0,MOD(A20,1)&gt;='Horaires'!$B$4,MOD(A20,1)&lt;'Horaires'!$B$5),"Oui","Non"))</f>
        <v/>
      </c>
      <c r="J20" s="12">
        <f>IF(OR(A20="",C20=""),"",IFERROR(IF(I20="Oui",A20+VLOOKUP(C20,'Tableau de routage'!$A$5:$L$29,6,FALSE)/1440,IF(AND(WEEKDAY(A20,2)&lt;=5,COUNTIF('Horaires'!$A$9:$A$38,INT(A20))=0,MOD(A20,1)&lt;'Horaires'!$B$4),INT(A20),WORKDAY(INT(A20),1,'Horaires'!$A$9:$A$38))+VLOOKUP(C20,'Tableau de routage'!$A$5:$L$29,7,FALSE)),""))</f>
        <v/>
      </c>
      <c r="K20" s="9">
        <f>IF(OR(A20="",H20=""),"",ROUND((H20-A20)*1440,0))</f>
        <v/>
      </c>
      <c r="L20" s="8">
        <f>IF(OR(A20="",J20=""),"",IF(H20="",IF(NOW()&gt;J20,"Sans réponse","En cours"),IF(ROUND((H20-J20)*1440,0)&lt;=0,"À temps","En retard")))</f>
        <v/>
      </c>
      <c r="M20" s="6" t="n"/>
      <c r="N20" s="5" t="n"/>
    </row>
    <row r="21">
      <c r="A21" s="11" t="n"/>
      <c r="B21" s="5" t="n"/>
      <c r="C21" s="5" t="n"/>
      <c r="D21" s="5" t="n"/>
      <c r="E21" s="9">
        <f>IF(C21="","",IFERROR(VLOOKUP(C21,'Tableau de routage'!$A$5:$L$29,3,FALSE),""))</f>
        <v/>
      </c>
      <c r="F21" s="9">
        <f>IF(C21="","",IFERROR(VLOOKUP(C21,'Tableau de routage'!$A$5:$L$29,4,FALSE),""))</f>
        <v/>
      </c>
      <c r="G21" s="6" t="n"/>
      <c r="H21" s="11" t="n"/>
      <c r="I21" s="9">
        <f>IF(A21="","",IF(AND(WEEKDAY(A21,2)&lt;=5,COUNTIF('Horaires'!$A$9:$A$38,INT(A21))=0,MOD(A21,1)&gt;='Horaires'!$B$4,MOD(A21,1)&lt;'Horaires'!$B$5),"Oui","Non"))</f>
        <v/>
      </c>
      <c r="J21" s="12">
        <f>IF(OR(A21="",C21=""),"",IFERROR(IF(I21="Oui",A21+VLOOKUP(C21,'Tableau de routage'!$A$5:$L$29,6,FALSE)/1440,IF(AND(WEEKDAY(A21,2)&lt;=5,COUNTIF('Horaires'!$A$9:$A$38,INT(A21))=0,MOD(A21,1)&lt;'Horaires'!$B$4),INT(A21),WORKDAY(INT(A21),1,'Horaires'!$A$9:$A$38))+VLOOKUP(C21,'Tableau de routage'!$A$5:$L$29,7,FALSE)),""))</f>
        <v/>
      </c>
      <c r="K21" s="9">
        <f>IF(OR(A21="",H21=""),"",ROUND((H21-A21)*1440,0))</f>
        <v/>
      </c>
      <c r="L21" s="8">
        <f>IF(OR(A21="",J21=""),"",IF(H21="",IF(NOW()&gt;J21,"Sans réponse","En cours"),IF(ROUND((H21-J21)*1440,0)&lt;=0,"À temps","En retard")))</f>
        <v/>
      </c>
      <c r="M21" s="6" t="n"/>
      <c r="N21" s="5" t="n"/>
    </row>
    <row r="22">
      <c r="A22" s="11" t="n"/>
      <c r="B22" s="5" t="n"/>
      <c r="C22" s="5" t="n"/>
      <c r="D22" s="5" t="n"/>
      <c r="E22" s="9">
        <f>IF(C22="","",IFERROR(VLOOKUP(C22,'Tableau de routage'!$A$5:$L$29,3,FALSE),""))</f>
        <v/>
      </c>
      <c r="F22" s="9">
        <f>IF(C22="","",IFERROR(VLOOKUP(C22,'Tableau de routage'!$A$5:$L$29,4,FALSE),""))</f>
        <v/>
      </c>
      <c r="G22" s="6" t="n"/>
      <c r="H22" s="11" t="n"/>
      <c r="I22" s="9">
        <f>IF(A22="","",IF(AND(WEEKDAY(A22,2)&lt;=5,COUNTIF('Horaires'!$A$9:$A$38,INT(A22))=0,MOD(A22,1)&gt;='Horaires'!$B$4,MOD(A22,1)&lt;'Horaires'!$B$5),"Oui","Non"))</f>
        <v/>
      </c>
      <c r="J22" s="12">
        <f>IF(OR(A22="",C22=""),"",IFERROR(IF(I22="Oui",A22+VLOOKUP(C22,'Tableau de routage'!$A$5:$L$29,6,FALSE)/1440,IF(AND(WEEKDAY(A22,2)&lt;=5,COUNTIF('Horaires'!$A$9:$A$38,INT(A22))=0,MOD(A22,1)&lt;'Horaires'!$B$4),INT(A22),WORKDAY(INT(A22),1,'Horaires'!$A$9:$A$38))+VLOOKUP(C22,'Tableau de routage'!$A$5:$L$29,7,FALSE)),""))</f>
        <v/>
      </c>
      <c r="K22" s="9">
        <f>IF(OR(A22="",H22=""),"",ROUND((H22-A22)*1440,0))</f>
        <v/>
      </c>
      <c r="L22" s="8">
        <f>IF(OR(A22="",J22=""),"",IF(H22="",IF(NOW()&gt;J22,"Sans réponse","En cours"),IF(ROUND((H22-J22)*1440,0)&lt;=0,"À temps","En retard")))</f>
        <v/>
      </c>
      <c r="M22" s="6" t="n"/>
      <c r="N22" s="5" t="n"/>
    </row>
    <row r="23">
      <c r="A23" s="11" t="n"/>
      <c r="B23" s="5" t="n"/>
      <c r="C23" s="5" t="n"/>
      <c r="D23" s="5" t="n"/>
      <c r="E23" s="9">
        <f>IF(C23="","",IFERROR(VLOOKUP(C23,'Tableau de routage'!$A$5:$L$29,3,FALSE),""))</f>
        <v/>
      </c>
      <c r="F23" s="9">
        <f>IF(C23="","",IFERROR(VLOOKUP(C23,'Tableau de routage'!$A$5:$L$29,4,FALSE),""))</f>
        <v/>
      </c>
      <c r="G23" s="6" t="n"/>
      <c r="H23" s="11" t="n"/>
      <c r="I23" s="9">
        <f>IF(A23="","",IF(AND(WEEKDAY(A23,2)&lt;=5,COUNTIF('Horaires'!$A$9:$A$38,INT(A23))=0,MOD(A23,1)&gt;='Horaires'!$B$4,MOD(A23,1)&lt;'Horaires'!$B$5),"Oui","Non"))</f>
        <v/>
      </c>
      <c r="J23" s="12">
        <f>IF(OR(A23="",C23=""),"",IFERROR(IF(I23="Oui",A23+VLOOKUP(C23,'Tableau de routage'!$A$5:$L$29,6,FALSE)/1440,IF(AND(WEEKDAY(A23,2)&lt;=5,COUNTIF('Horaires'!$A$9:$A$38,INT(A23))=0,MOD(A23,1)&lt;'Horaires'!$B$4),INT(A23),WORKDAY(INT(A23),1,'Horaires'!$A$9:$A$38))+VLOOKUP(C23,'Tableau de routage'!$A$5:$L$29,7,FALSE)),""))</f>
        <v/>
      </c>
      <c r="K23" s="9">
        <f>IF(OR(A23="",H23=""),"",ROUND((H23-A23)*1440,0))</f>
        <v/>
      </c>
      <c r="L23" s="8">
        <f>IF(OR(A23="",J23=""),"",IF(H23="",IF(NOW()&gt;J23,"Sans réponse","En cours"),IF(ROUND((H23-J23)*1440,0)&lt;=0,"À temps","En retard")))</f>
        <v/>
      </c>
      <c r="M23" s="6" t="n"/>
      <c r="N23" s="5" t="n"/>
    </row>
    <row r="24">
      <c r="A24" s="11" t="n"/>
      <c r="B24" s="5" t="n"/>
      <c r="C24" s="5" t="n"/>
      <c r="D24" s="5" t="n"/>
      <c r="E24" s="9">
        <f>IF(C24="","",IFERROR(VLOOKUP(C24,'Tableau de routage'!$A$5:$L$29,3,FALSE),""))</f>
        <v/>
      </c>
      <c r="F24" s="9">
        <f>IF(C24="","",IFERROR(VLOOKUP(C24,'Tableau de routage'!$A$5:$L$29,4,FALSE),""))</f>
        <v/>
      </c>
      <c r="G24" s="6" t="n"/>
      <c r="H24" s="11" t="n"/>
      <c r="I24" s="9">
        <f>IF(A24="","",IF(AND(WEEKDAY(A24,2)&lt;=5,COUNTIF('Horaires'!$A$9:$A$38,INT(A24))=0,MOD(A24,1)&gt;='Horaires'!$B$4,MOD(A24,1)&lt;'Horaires'!$B$5),"Oui","Non"))</f>
        <v/>
      </c>
      <c r="J24" s="12">
        <f>IF(OR(A24="",C24=""),"",IFERROR(IF(I24="Oui",A24+VLOOKUP(C24,'Tableau de routage'!$A$5:$L$29,6,FALSE)/1440,IF(AND(WEEKDAY(A24,2)&lt;=5,COUNTIF('Horaires'!$A$9:$A$38,INT(A24))=0,MOD(A24,1)&lt;'Horaires'!$B$4),INT(A24),WORKDAY(INT(A24),1,'Horaires'!$A$9:$A$38))+VLOOKUP(C24,'Tableau de routage'!$A$5:$L$29,7,FALSE)),""))</f>
        <v/>
      </c>
      <c r="K24" s="9">
        <f>IF(OR(A24="",H24=""),"",ROUND((H24-A24)*1440,0))</f>
        <v/>
      </c>
      <c r="L24" s="8">
        <f>IF(OR(A24="",J24=""),"",IF(H24="",IF(NOW()&gt;J24,"Sans réponse","En cours"),IF(ROUND((H24-J24)*1440,0)&lt;=0,"À temps","En retard")))</f>
        <v/>
      </c>
      <c r="M24" s="6" t="n"/>
      <c r="N24" s="5" t="n"/>
    </row>
    <row r="25">
      <c r="A25" s="11" t="n"/>
      <c r="B25" s="5" t="n"/>
      <c r="C25" s="5" t="n"/>
      <c r="D25" s="5" t="n"/>
      <c r="E25" s="9">
        <f>IF(C25="","",IFERROR(VLOOKUP(C25,'Tableau de routage'!$A$5:$L$29,3,FALSE),""))</f>
        <v/>
      </c>
      <c r="F25" s="9">
        <f>IF(C25="","",IFERROR(VLOOKUP(C25,'Tableau de routage'!$A$5:$L$29,4,FALSE),""))</f>
        <v/>
      </c>
      <c r="G25" s="6" t="n"/>
      <c r="H25" s="11" t="n"/>
      <c r="I25" s="9">
        <f>IF(A25="","",IF(AND(WEEKDAY(A25,2)&lt;=5,COUNTIF('Horaires'!$A$9:$A$38,INT(A25))=0,MOD(A25,1)&gt;='Horaires'!$B$4,MOD(A25,1)&lt;'Horaires'!$B$5),"Oui","Non"))</f>
        <v/>
      </c>
      <c r="J25" s="12">
        <f>IF(OR(A25="",C25=""),"",IFERROR(IF(I25="Oui",A25+VLOOKUP(C25,'Tableau de routage'!$A$5:$L$29,6,FALSE)/1440,IF(AND(WEEKDAY(A25,2)&lt;=5,COUNTIF('Horaires'!$A$9:$A$38,INT(A25))=0,MOD(A25,1)&lt;'Horaires'!$B$4),INT(A25),WORKDAY(INT(A25),1,'Horaires'!$A$9:$A$38))+VLOOKUP(C25,'Tableau de routage'!$A$5:$L$29,7,FALSE)),""))</f>
        <v/>
      </c>
      <c r="K25" s="9">
        <f>IF(OR(A25="",H25=""),"",ROUND((H25-A25)*1440,0))</f>
        <v/>
      </c>
      <c r="L25" s="8">
        <f>IF(OR(A25="",J25=""),"",IF(H25="",IF(NOW()&gt;J25,"Sans réponse","En cours"),IF(ROUND((H25-J25)*1440,0)&lt;=0,"À temps","En retard")))</f>
        <v/>
      </c>
      <c r="M25" s="6" t="n"/>
      <c r="N25" s="5" t="n"/>
    </row>
    <row r="26">
      <c r="A26" s="11" t="n"/>
      <c r="B26" s="5" t="n"/>
      <c r="C26" s="5" t="n"/>
      <c r="D26" s="5" t="n"/>
      <c r="E26" s="9">
        <f>IF(C26="","",IFERROR(VLOOKUP(C26,'Tableau de routage'!$A$5:$L$29,3,FALSE),""))</f>
        <v/>
      </c>
      <c r="F26" s="9">
        <f>IF(C26="","",IFERROR(VLOOKUP(C26,'Tableau de routage'!$A$5:$L$29,4,FALSE),""))</f>
        <v/>
      </c>
      <c r="G26" s="6" t="n"/>
      <c r="H26" s="11" t="n"/>
      <c r="I26" s="9">
        <f>IF(A26="","",IF(AND(WEEKDAY(A26,2)&lt;=5,COUNTIF('Horaires'!$A$9:$A$38,INT(A26))=0,MOD(A26,1)&gt;='Horaires'!$B$4,MOD(A26,1)&lt;'Horaires'!$B$5),"Oui","Non"))</f>
        <v/>
      </c>
      <c r="J26" s="12">
        <f>IF(OR(A26="",C26=""),"",IFERROR(IF(I26="Oui",A26+VLOOKUP(C26,'Tableau de routage'!$A$5:$L$29,6,FALSE)/1440,IF(AND(WEEKDAY(A26,2)&lt;=5,COUNTIF('Horaires'!$A$9:$A$38,INT(A26))=0,MOD(A26,1)&lt;'Horaires'!$B$4),INT(A26),WORKDAY(INT(A26),1,'Horaires'!$A$9:$A$38))+VLOOKUP(C26,'Tableau de routage'!$A$5:$L$29,7,FALSE)),""))</f>
        <v/>
      </c>
      <c r="K26" s="9">
        <f>IF(OR(A26="",H26=""),"",ROUND((H26-A26)*1440,0))</f>
        <v/>
      </c>
      <c r="L26" s="8">
        <f>IF(OR(A26="",J26=""),"",IF(H26="",IF(NOW()&gt;J26,"Sans réponse","En cours"),IF(ROUND((H26-J26)*1440,0)&lt;=0,"À temps","En retard")))</f>
        <v/>
      </c>
      <c r="M26" s="6" t="n"/>
      <c r="N26" s="5" t="n"/>
    </row>
    <row r="27">
      <c r="A27" s="11" t="n"/>
      <c r="B27" s="5" t="n"/>
      <c r="C27" s="5" t="n"/>
      <c r="D27" s="5" t="n"/>
      <c r="E27" s="9">
        <f>IF(C27="","",IFERROR(VLOOKUP(C27,'Tableau de routage'!$A$5:$L$29,3,FALSE),""))</f>
        <v/>
      </c>
      <c r="F27" s="9">
        <f>IF(C27="","",IFERROR(VLOOKUP(C27,'Tableau de routage'!$A$5:$L$29,4,FALSE),""))</f>
        <v/>
      </c>
      <c r="G27" s="6" t="n"/>
      <c r="H27" s="11" t="n"/>
      <c r="I27" s="9">
        <f>IF(A27="","",IF(AND(WEEKDAY(A27,2)&lt;=5,COUNTIF('Horaires'!$A$9:$A$38,INT(A27))=0,MOD(A27,1)&gt;='Horaires'!$B$4,MOD(A27,1)&lt;'Horaires'!$B$5),"Oui","Non"))</f>
        <v/>
      </c>
      <c r="J27" s="12">
        <f>IF(OR(A27="",C27=""),"",IFERROR(IF(I27="Oui",A27+VLOOKUP(C27,'Tableau de routage'!$A$5:$L$29,6,FALSE)/1440,IF(AND(WEEKDAY(A27,2)&lt;=5,COUNTIF('Horaires'!$A$9:$A$38,INT(A27))=0,MOD(A27,1)&lt;'Horaires'!$B$4),INT(A27),WORKDAY(INT(A27),1,'Horaires'!$A$9:$A$38))+VLOOKUP(C27,'Tableau de routage'!$A$5:$L$29,7,FALSE)),""))</f>
        <v/>
      </c>
      <c r="K27" s="9">
        <f>IF(OR(A27="",H27=""),"",ROUND((H27-A27)*1440,0))</f>
        <v/>
      </c>
      <c r="L27" s="8">
        <f>IF(OR(A27="",J27=""),"",IF(H27="",IF(NOW()&gt;J27,"Sans réponse","En cours"),IF(ROUND((H27-J27)*1440,0)&lt;=0,"À temps","En retard")))</f>
        <v/>
      </c>
      <c r="M27" s="6" t="n"/>
      <c r="N27" s="5" t="n"/>
    </row>
    <row r="28">
      <c r="A28" s="11" t="n"/>
      <c r="B28" s="5" t="n"/>
      <c r="C28" s="5" t="n"/>
      <c r="D28" s="5" t="n"/>
      <c r="E28" s="9">
        <f>IF(C28="","",IFERROR(VLOOKUP(C28,'Tableau de routage'!$A$5:$L$29,3,FALSE),""))</f>
        <v/>
      </c>
      <c r="F28" s="9">
        <f>IF(C28="","",IFERROR(VLOOKUP(C28,'Tableau de routage'!$A$5:$L$29,4,FALSE),""))</f>
        <v/>
      </c>
      <c r="G28" s="6" t="n"/>
      <c r="H28" s="11" t="n"/>
      <c r="I28" s="9">
        <f>IF(A28="","",IF(AND(WEEKDAY(A28,2)&lt;=5,COUNTIF('Horaires'!$A$9:$A$38,INT(A28))=0,MOD(A28,1)&gt;='Horaires'!$B$4,MOD(A28,1)&lt;'Horaires'!$B$5),"Oui","Non"))</f>
        <v/>
      </c>
      <c r="J28" s="12">
        <f>IF(OR(A28="",C28=""),"",IFERROR(IF(I28="Oui",A28+VLOOKUP(C28,'Tableau de routage'!$A$5:$L$29,6,FALSE)/1440,IF(AND(WEEKDAY(A28,2)&lt;=5,COUNTIF('Horaires'!$A$9:$A$38,INT(A28))=0,MOD(A28,1)&lt;'Horaires'!$B$4),INT(A28),WORKDAY(INT(A28),1,'Horaires'!$A$9:$A$38))+VLOOKUP(C28,'Tableau de routage'!$A$5:$L$29,7,FALSE)),""))</f>
        <v/>
      </c>
      <c r="K28" s="9">
        <f>IF(OR(A28="",H28=""),"",ROUND((H28-A28)*1440,0))</f>
        <v/>
      </c>
      <c r="L28" s="8">
        <f>IF(OR(A28="",J28=""),"",IF(H28="",IF(NOW()&gt;J28,"Sans réponse","En cours"),IF(ROUND((H28-J28)*1440,0)&lt;=0,"À temps","En retard")))</f>
        <v/>
      </c>
      <c r="M28" s="6" t="n"/>
      <c r="N28" s="5" t="n"/>
    </row>
    <row r="29">
      <c r="A29" s="11" t="n"/>
      <c r="B29" s="5" t="n"/>
      <c r="C29" s="5" t="n"/>
      <c r="D29" s="5" t="n"/>
      <c r="E29" s="9">
        <f>IF(C29="","",IFERROR(VLOOKUP(C29,'Tableau de routage'!$A$5:$L$29,3,FALSE),""))</f>
        <v/>
      </c>
      <c r="F29" s="9">
        <f>IF(C29="","",IFERROR(VLOOKUP(C29,'Tableau de routage'!$A$5:$L$29,4,FALSE),""))</f>
        <v/>
      </c>
      <c r="G29" s="6" t="n"/>
      <c r="H29" s="11" t="n"/>
      <c r="I29" s="9">
        <f>IF(A29="","",IF(AND(WEEKDAY(A29,2)&lt;=5,COUNTIF('Horaires'!$A$9:$A$38,INT(A29))=0,MOD(A29,1)&gt;='Horaires'!$B$4,MOD(A29,1)&lt;'Horaires'!$B$5),"Oui","Non"))</f>
        <v/>
      </c>
      <c r="J29" s="12">
        <f>IF(OR(A29="",C29=""),"",IFERROR(IF(I29="Oui",A29+VLOOKUP(C29,'Tableau de routage'!$A$5:$L$29,6,FALSE)/1440,IF(AND(WEEKDAY(A29,2)&lt;=5,COUNTIF('Horaires'!$A$9:$A$38,INT(A29))=0,MOD(A29,1)&lt;'Horaires'!$B$4),INT(A29),WORKDAY(INT(A29),1,'Horaires'!$A$9:$A$38))+VLOOKUP(C29,'Tableau de routage'!$A$5:$L$29,7,FALSE)),""))</f>
        <v/>
      </c>
      <c r="K29" s="9">
        <f>IF(OR(A29="",H29=""),"",ROUND((H29-A29)*1440,0))</f>
        <v/>
      </c>
      <c r="L29" s="8">
        <f>IF(OR(A29="",J29=""),"",IF(H29="",IF(NOW()&gt;J29,"Sans réponse","En cours"),IF(ROUND((H29-J29)*1440,0)&lt;=0,"À temps","En retard")))</f>
        <v/>
      </c>
      <c r="M29" s="6" t="n"/>
      <c r="N29" s="5" t="n"/>
    </row>
    <row r="30">
      <c r="A30" s="11" t="n"/>
      <c r="B30" s="5" t="n"/>
      <c r="C30" s="5" t="n"/>
      <c r="D30" s="5" t="n"/>
      <c r="E30" s="9">
        <f>IF(C30="","",IFERROR(VLOOKUP(C30,'Tableau de routage'!$A$5:$L$29,3,FALSE),""))</f>
        <v/>
      </c>
      <c r="F30" s="9">
        <f>IF(C30="","",IFERROR(VLOOKUP(C30,'Tableau de routage'!$A$5:$L$29,4,FALSE),""))</f>
        <v/>
      </c>
      <c r="G30" s="6" t="n"/>
      <c r="H30" s="11" t="n"/>
      <c r="I30" s="9">
        <f>IF(A30="","",IF(AND(WEEKDAY(A30,2)&lt;=5,COUNTIF('Horaires'!$A$9:$A$38,INT(A30))=0,MOD(A30,1)&gt;='Horaires'!$B$4,MOD(A30,1)&lt;'Horaires'!$B$5),"Oui","Non"))</f>
        <v/>
      </c>
      <c r="J30" s="12">
        <f>IF(OR(A30="",C30=""),"",IFERROR(IF(I30="Oui",A30+VLOOKUP(C30,'Tableau de routage'!$A$5:$L$29,6,FALSE)/1440,IF(AND(WEEKDAY(A30,2)&lt;=5,COUNTIF('Horaires'!$A$9:$A$38,INT(A30))=0,MOD(A30,1)&lt;'Horaires'!$B$4),INT(A30),WORKDAY(INT(A30),1,'Horaires'!$A$9:$A$38))+VLOOKUP(C30,'Tableau de routage'!$A$5:$L$29,7,FALSE)),""))</f>
        <v/>
      </c>
      <c r="K30" s="9">
        <f>IF(OR(A30="",H30=""),"",ROUND((H30-A30)*1440,0))</f>
        <v/>
      </c>
      <c r="L30" s="8">
        <f>IF(OR(A30="",J30=""),"",IF(H30="",IF(NOW()&gt;J30,"Sans réponse","En cours"),IF(ROUND((H30-J30)*1440,0)&lt;=0,"À temps","En retard")))</f>
        <v/>
      </c>
      <c r="M30" s="6" t="n"/>
      <c r="N30" s="5" t="n"/>
    </row>
    <row r="31">
      <c r="A31" s="11" t="n"/>
      <c r="B31" s="5" t="n"/>
      <c r="C31" s="5" t="n"/>
      <c r="D31" s="5" t="n"/>
      <c r="E31" s="9">
        <f>IF(C31="","",IFERROR(VLOOKUP(C31,'Tableau de routage'!$A$5:$L$29,3,FALSE),""))</f>
        <v/>
      </c>
      <c r="F31" s="9">
        <f>IF(C31="","",IFERROR(VLOOKUP(C31,'Tableau de routage'!$A$5:$L$29,4,FALSE),""))</f>
        <v/>
      </c>
      <c r="G31" s="6" t="n"/>
      <c r="H31" s="11" t="n"/>
      <c r="I31" s="9">
        <f>IF(A31="","",IF(AND(WEEKDAY(A31,2)&lt;=5,COUNTIF('Horaires'!$A$9:$A$38,INT(A31))=0,MOD(A31,1)&gt;='Horaires'!$B$4,MOD(A31,1)&lt;'Horaires'!$B$5),"Oui","Non"))</f>
        <v/>
      </c>
      <c r="J31" s="12">
        <f>IF(OR(A31="",C31=""),"",IFERROR(IF(I31="Oui",A31+VLOOKUP(C31,'Tableau de routage'!$A$5:$L$29,6,FALSE)/1440,IF(AND(WEEKDAY(A31,2)&lt;=5,COUNTIF('Horaires'!$A$9:$A$38,INT(A31))=0,MOD(A31,1)&lt;'Horaires'!$B$4),INT(A31),WORKDAY(INT(A31),1,'Horaires'!$A$9:$A$38))+VLOOKUP(C31,'Tableau de routage'!$A$5:$L$29,7,FALSE)),""))</f>
        <v/>
      </c>
      <c r="K31" s="9">
        <f>IF(OR(A31="",H31=""),"",ROUND((H31-A31)*1440,0))</f>
        <v/>
      </c>
      <c r="L31" s="8">
        <f>IF(OR(A31="",J31=""),"",IF(H31="",IF(NOW()&gt;J31,"Sans réponse","En cours"),IF(ROUND((H31-J31)*1440,0)&lt;=0,"À temps","En retard")))</f>
        <v/>
      </c>
      <c r="M31" s="6" t="n"/>
      <c r="N31" s="5" t="n"/>
    </row>
    <row r="32">
      <c r="A32" s="11" t="n"/>
      <c r="B32" s="5" t="n"/>
      <c r="C32" s="5" t="n"/>
      <c r="D32" s="5" t="n"/>
      <c r="E32" s="9">
        <f>IF(C32="","",IFERROR(VLOOKUP(C32,'Tableau de routage'!$A$5:$L$29,3,FALSE),""))</f>
        <v/>
      </c>
      <c r="F32" s="9">
        <f>IF(C32="","",IFERROR(VLOOKUP(C32,'Tableau de routage'!$A$5:$L$29,4,FALSE),""))</f>
        <v/>
      </c>
      <c r="G32" s="6" t="n"/>
      <c r="H32" s="11" t="n"/>
      <c r="I32" s="9">
        <f>IF(A32="","",IF(AND(WEEKDAY(A32,2)&lt;=5,COUNTIF('Horaires'!$A$9:$A$38,INT(A32))=0,MOD(A32,1)&gt;='Horaires'!$B$4,MOD(A32,1)&lt;'Horaires'!$B$5),"Oui","Non"))</f>
        <v/>
      </c>
      <c r="J32" s="12">
        <f>IF(OR(A32="",C32=""),"",IFERROR(IF(I32="Oui",A32+VLOOKUP(C32,'Tableau de routage'!$A$5:$L$29,6,FALSE)/1440,IF(AND(WEEKDAY(A32,2)&lt;=5,COUNTIF('Horaires'!$A$9:$A$38,INT(A32))=0,MOD(A32,1)&lt;'Horaires'!$B$4),INT(A32),WORKDAY(INT(A32),1,'Horaires'!$A$9:$A$38))+VLOOKUP(C32,'Tableau de routage'!$A$5:$L$29,7,FALSE)),""))</f>
        <v/>
      </c>
      <c r="K32" s="9">
        <f>IF(OR(A32="",H32=""),"",ROUND((H32-A32)*1440,0))</f>
        <v/>
      </c>
      <c r="L32" s="8">
        <f>IF(OR(A32="",J32=""),"",IF(H32="",IF(NOW()&gt;J32,"Sans réponse","En cours"),IF(ROUND((H32-J32)*1440,0)&lt;=0,"À temps","En retard")))</f>
        <v/>
      </c>
      <c r="M32" s="6" t="n"/>
      <c r="N32" s="5" t="n"/>
    </row>
    <row r="33">
      <c r="A33" s="11" t="n"/>
      <c r="B33" s="5" t="n"/>
      <c r="C33" s="5" t="n"/>
      <c r="D33" s="5" t="n"/>
      <c r="E33" s="9">
        <f>IF(C33="","",IFERROR(VLOOKUP(C33,'Tableau de routage'!$A$5:$L$29,3,FALSE),""))</f>
        <v/>
      </c>
      <c r="F33" s="9">
        <f>IF(C33="","",IFERROR(VLOOKUP(C33,'Tableau de routage'!$A$5:$L$29,4,FALSE),""))</f>
        <v/>
      </c>
      <c r="G33" s="6" t="n"/>
      <c r="H33" s="11" t="n"/>
      <c r="I33" s="9">
        <f>IF(A33="","",IF(AND(WEEKDAY(A33,2)&lt;=5,COUNTIF('Horaires'!$A$9:$A$38,INT(A33))=0,MOD(A33,1)&gt;='Horaires'!$B$4,MOD(A33,1)&lt;'Horaires'!$B$5),"Oui","Non"))</f>
        <v/>
      </c>
      <c r="J33" s="12">
        <f>IF(OR(A33="",C33=""),"",IFERROR(IF(I33="Oui",A33+VLOOKUP(C33,'Tableau de routage'!$A$5:$L$29,6,FALSE)/1440,IF(AND(WEEKDAY(A33,2)&lt;=5,COUNTIF('Horaires'!$A$9:$A$38,INT(A33))=0,MOD(A33,1)&lt;'Horaires'!$B$4),INT(A33),WORKDAY(INT(A33),1,'Horaires'!$A$9:$A$38))+VLOOKUP(C33,'Tableau de routage'!$A$5:$L$29,7,FALSE)),""))</f>
        <v/>
      </c>
      <c r="K33" s="9">
        <f>IF(OR(A33="",H33=""),"",ROUND((H33-A33)*1440,0))</f>
        <v/>
      </c>
      <c r="L33" s="8">
        <f>IF(OR(A33="",J33=""),"",IF(H33="",IF(NOW()&gt;J33,"Sans réponse","En cours"),IF(ROUND((H33-J33)*1440,0)&lt;=0,"À temps","En retard")))</f>
        <v/>
      </c>
      <c r="M33" s="6" t="n"/>
      <c r="N33" s="5" t="n"/>
    </row>
    <row r="34">
      <c r="A34" s="11" t="n"/>
      <c r="B34" s="5" t="n"/>
      <c r="C34" s="5" t="n"/>
      <c r="D34" s="5" t="n"/>
      <c r="E34" s="9">
        <f>IF(C34="","",IFERROR(VLOOKUP(C34,'Tableau de routage'!$A$5:$L$29,3,FALSE),""))</f>
        <v/>
      </c>
      <c r="F34" s="9">
        <f>IF(C34="","",IFERROR(VLOOKUP(C34,'Tableau de routage'!$A$5:$L$29,4,FALSE),""))</f>
        <v/>
      </c>
      <c r="G34" s="6" t="n"/>
      <c r="H34" s="11" t="n"/>
      <c r="I34" s="9">
        <f>IF(A34="","",IF(AND(WEEKDAY(A34,2)&lt;=5,COUNTIF('Horaires'!$A$9:$A$38,INT(A34))=0,MOD(A34,1)&gt;='Horaires'!$B$4,MOD(A34,1)&lt;'Horaires'!$B$5),"Oui","Non"))</f>
        <v/>
      </c>
      <c r="J34" s="12">
        <f>IF(OR(A34="",C34=""),"",IFERROR(IF(I34="Oui",A34+VLOOKUP(C34,'Tableau de routage'!$A$5:$L$29,6,FALSE)/1440,IF(AND(WEEKDAY(A34,2)&lt;=5,COUNTIF('Horaires'!$A$9:$A$38,INT(A34))=0,MOD(A34,1)&lt;'Horaires'!$B$4),INT(A34),WORKDAY(INT(A34),1,'Horaires'!$A$9:$A$38))+VLOOKUP(C34,'Tableau de routage'!$A$5:$L$29,7,FALSE)),""))</f>
        <v/>
      </c>
      <c r="K34" s="9">
        <f>IF(OR(A34="",H34=""),"",ROUND((H34-A34)*1440,0))</f>
        <v/>
      </c>
      <c r="L34" s="8">
        <f>IF(OR(A34="",J34=""),"",IF(H34="",IF(NOW()&gt;J34,"Sans réponse","En cours"),IF(ROUND((H34-J34)*1440,0)&lt;=0,"À temps","En retard")))</f>
        <v/>
      </c>
      <c r="M34" s="6" t="n"/>
      <c r="N34" s="5" t="n"/>
    </row>
    <row r="35">
      <c r="A35" s="11" t="n"/>
      <c r="B35" s="5" t="n"/>
      <c r="C35" s="5" t="n"/>
      <c r="D35" s="5" t="n"/>
      <c r="E35" s="9">
        <f>IF(C35="","",IFERROR(VLOOKUP(C35,'Tableau de routage'!$A$5:$L$29,3,FALSE),""))</f>
        <v/>
      </c>
      <c r="F35" s="9">
        <f>IF(C35="","",IFERROR(VLOOKUP(C35,'Tableau de routage'!$A$5:$L$29,4,FALSE),""))</f>
        <v/>
      </c>
      <c r="G35" s="6" t="n"/>
      <c r="H35" s="11" t="n"/>
      <c r="I35" s="9">
        <f>IF(A35="","",IF(AND(WEEKDAY(A35,2)&lt;=5,COUNTIF('Horaires'!$A$9:$A$38,INT(A35))=0,MOD(A35,1)&gt;='Horaires'!$B$4,MOD(A35,1)&lt;'Horaires'!$B$5),"Oui","Non"))</f>
        <v/>
      </c>
      <c r="J35" s="12">
        <f>IF(OR(A35="",C35=""),"",IFERROR(IF(I35="Oui",A35+VLOOKUP(C35,'Tableau de routage'!$A$5:$L$29,6,FALSE)/1440,IF(AND(WEEKDAY(A35,2)&lt;=5,COUNTIF('Horaires'!$A$9:$A$38,INT(A35))=0,MOD(A35,1)&lt;'Horaires'!$B$4),INT(A35),WORKDAY(INT(A35),1,'Horaires'!$A$9:$A$38))+VLOOKUP(C35,'Tableau de routage'!$A$5:$L$29,7,FALSE)),""))</f>
        <v/>
      </c>
      <c r="K35" s="9">
        <f>IF(OR(A35="",H35=""),"",ROUND((H35-A35)*1440,0))</f>
        <v/>
      </c>
      <c r="L35" s="8">
        <f>IF(OR(A35="",J35=""),"",IF(H35="",IF(NOW()&gt;J35,"Sans réponse","En cours"),IF(ROUND((H35-J35)*1440,0)&lt;=0,"À temps","En retard")))</f>
        <v/>
      </c>
      <c r="M35" s="6" t="n"/>
      <c r="N35" s="5" t="n"/>
    </row>
    <row r="36">
      <c r="A36" s="11" t="n"/>
      <c r="B36" s="5" t="n"/>
      <c r="C36" s="5" t="n"/>
      <c r="D36" s="5" t="n"/>
      <c r="E36" s="9">
        <f>IF(C36="","",IFERROR(VLOOKUP(C36,'Tableau de routage'!$A$5:$L$29,3,FALSE),""))</f>
        <v/>
      </c>
      <c r="F36" s="9">
        <f>IF(C36="","",IFERROR(VLOOKUP(C36,'Tableau de routage'!$A$5:$L$29,4,FALSE),""))</f>
        <v/>
      </c>
      <c r="G36" s="6" t="n"/>
      <c r="H36" s="11" t="n"/>
      <c r="I36" s="9">
        <f>IF(A36="","",IF(AND(WEEKDAY(A36,2)&lt;=5,COUNTIF('Horaires'!$A$9:$A$38,INT(A36))=0,MOD(A36,1)&gt;='Horaires'!$B$4,MOD(A36,1)&lt;'Horaires'!$B$5),"Oui","Non"))</f>
        <v/>
      </c>
      <c r="J36" s="12">
        <f>IF(OR(A36="",C36=""),"",IFERROR(IF(I36="Oui",A36+VLOOKUP(C36,'Tableau de routage'!$A$5:$L$29,6,FALSE)/1440,IF(AND(WEEKDAY(A36,2)&lt;=5,COUNTIF('Horaires'!$A$9:$A$38,INT(A36))=0,MOD(A36,1)&lt;'Horaires'!$B$4),INT(A36),WORKDAY(INT(A36),1,'Horaires'!$A$9:$A$38))+VLOOKUP(C36,'Tableau de routage'!$A$5:$L$29,7,FALSE)),""))</f>
        <v/>
      </c>
      <c r="K36" s="9">
        <f>IF(OR(A36="",H36=""),"",ROUND((H36-A36)*1440,0))</f>
        <v/>
      </c>
      <c r="L36" s="8">
        <f>IF(OR(A36="",J36=""),"",IF(H36="",IF(NOW()&gt;J36,"Sans réponse","En cours"),IF(ROUND((H36-J36)*1440,0)&lt;=0,"À temps","En retard")))</f>
        <v/>
      </c>
      <c r="M36" s="6" t="n"/>
      <c r="N36" s="5" t="n"/>
    </row>
    <row r="37">
      <c r="A37" s="11" t="n"/>
      <c r="B37" s="5" t="n"/>
      <c r="C37" s="5" t="n"/>
      <c r="D37" s="5" t="n"/>
      <c r="E37" s="9">
        <f>IF(C37="","",IFERROR(VLOOKUP(C37,'Tableau de routage'!$A$5:$L$29,3,FALSE),""))</f>
        <v/>
      </c>
      <c r="F37" s="9">
        <f>IF(C37="","",IFERROR(VLOOKUP(C37,'Tableau de routage'!$A$5:$L$29,4,FALSE),""))</f>
        <v/>
      </c>
      <c r="G37" s="6" t="n"/>
      <c r="H37" s="11" t="n"/>
      <c r="I37" s="9">
        <f>IF(A37="","",IF(AND(WEEKDAY(A37,2)&lt;=5,COUNTIF('Horaires'!$A$9:$A$38,INT(A37))=0,MOD(A37,1)&gt;='Horaires'!$B$4,MOD(A37,1)&lt;'Horaires'!$B$5),"Oui","Non"))</f>
        <v/>
      </c>
      <c r="J37" s="12">
        <f>IF(OR(A37="",C37=""),"",IFERROR(IF(I37="Oui",A37+VLOOKUP(C37,'Tableau de routage'!$A$5:$L$29,6,FALSE)/1440,IF(AND(WEEKDAY(A37,2)&lt;=5,COUNTIF('Horaires'!$A$9:$A$38,INT(A37))=0,MOD(A37,1)&lt;'Horaires'!$B$4),INT(A37),WORKDAY(INT(A37),1,'Horaires'!$A$9:$A$38))+VLOOKUP(C37,'Tableau de routage'!$A$5:$L$29,7,FALSE)),""))</f>
        <v/>
      </c>
      <c r="K37" s="9">
        <f>IF(OR(A37="",H37=""),"",ROUND((H37-A37)*1440,0))</f>
        <v/>
      </c>
      <c r="L37" s="8">
        <f>IF(OR(A37="",J37=""),"",IF(H37="",IF(NOW()&gt;J37,"Sans réponse","En cours"),IF(ROUND((H37-J37)*1440,0)&lt;=0,"À temps","En retard")))</f>
        <v/>
      </c>
      <c r="M37" s="6" t="n"/>
      <c r="N37" s="5" t="n"/>
    </row>
    <row r="38">
      <c r="A38" s="11" t="n"/>
      <c r="B38" s="5" t="n"/>
      <c r="C38" s="5" t="n"/>
      <c r="D38" s="5" t="n"/>
      <c r="E38" s="9">
        <f>IF(C38="","",IFERROR(VLOOKUP(C38,'Tableau de routage'!$A$5:$L$29,3,FALSE),""))</f>
        <v/>
      </c>
      <c r="F38" s="9">
        <f>IF(C38="","",IFERROR(VLOOKUP(C38,'Tableau de routage'!$A$5:$L$29,4,FALSE),""))</f>
        <v/>
      </c>
      <c r="G38" s="6" t="n"/>
      <c r="H38" s="11" t="n"/>
      <c r="I38" s="9">
        <f>IF(A38="","",IF(AND(WEEKDAY(A38,2)&lt;=5,COUNTIF('Horaires'!$A$9:$A$38,INT(A38))=0,MOD(A38,1)&gt;='Horaires'!$B$4,MOD(A38,1)&lt;'Horaires'!$B$5),"Oui","Non"))</f>
        <v/>
      </c>
      <c r="J38" s="12">
        <f>IF(OR(A38="",C38=""),"",IFERROR(IF(I38="Oui",A38+VLOOKUP(C38,'Tableau de routage'!$A$5:$L$29,6,FALSE)/1440,IF(AND(WEEKDAY(A38,2)&lt;=5,COUNTIF('Horaires'!$A$9:$A$38,INT(A38))=0,MOD(A38,1)&lt;'Horaires'!$B$4),INT(A38),WORKDAY(INT(A38),1,'Horaires'!$A$9:$A$38))+VLOOKUP(C38,'Tableau de routage'!$A$5:$L$29,7,FALSE)),""))</f>
        <v/>
      </c>
      <c r="K38" s="9">
        <f>IF(OR(A38="",H38=""),"",ROUND((H38-A38)*1440,0))</f>
        <v/>
      </c>
      <c r="L38" s="8">
        <f>IF(OR(A38="",J38=""),"",IF(H38="",IF(NOW()&gt;J38,"Sans réponse","En cours"),IF(ROUND((H38-J38)*1440,0)&lt;=0,"À temps","En retard")))</f>
        <v/>
      </c>
      <c r="M38" s="6" t="n"/>
      <c r="N38" s="5" t="n"/>
    </row>
    <row r="39">
      <c r="A39" s="11" t="n"/>
      <c r="B39" s="5" t="n"/>
      <c r="C39" s="5" t="n"/>
      <c r="D39" s="5" t="n"/>
      <c r="E39" s="9">
        <f>IF(C39="","",IFERROR(VLOOKUP(C39,'Tableau de routage'!$A$5:$L$29,3,FALSE),""))</f>
        <v/>
      </c>
      <c r="F39" s="9">
        <f>IF(C39="","",IFERROR(VLOOKUP(C39,'Tableau de routage'!$A$5:$L$29,4,FALSE),""))</f>
        <v/>
      </c>
      <c r="G39" s="6" t="n"/>
      <c r="H39" s="11" t="n"/>
      <c r="I39" s="9">
        <f>IF(A39="","",IF(AND(WEEKDAY(A39,2)&lt;=5,COUNTIF('Horaires'!$A$9:$A$38,INT(A39))=0,MOD(A39,1)&gt;='Horaires'!$B$4,MOD(A39,1)&lt;'Horaires'!$B$5),"Oui","Non"))</f>
        <v/>
      </c>
      <c r="J39" s="12">
        <f>IF(OR(A39="",C39=""),"",IFERROR(IF(I39="Oui",A39+VLOOKUP(C39,'Tableau de routage'!$A$5:$L$29,6,FALSE)/1440,IF(AND(WEEKDAY(A39,2)&lt;=5,COUNTIF('Horaires'!$A$9:$A$38,INT(A39))=0,MOD(A39,1)&lt;'Horaires'!$B$4),INT(A39),WORKDAY(INT(A39),1,'Horaires'!$A$9:$A$38))+VLOOKUP(C39,'Tableau de routage'!$A$5:$L$29,7,FALSE)),""))</f>
        <v/>
      </c>
      <c r="K39" s="9">
        <f>IF(OR(A39="",H39=""),"",ROUND((H39-A39)*1440,0))</f>
        <v/>
      </c>
      <c r="L39" s="8">
        <f>IF(OR(A39="",J39=""),"",IF(H39="",IF(NOW()&gt;J39,"Sans réponse","En cours"),IF(ROUND((H39-J39)*1440,0)&lt;=0,"À temps","En retard")))</f>
        <v/>
      </c>
      <c r="M39" s="6" t="n"/>
      <c r="N39" s="5" t="n"/>
    </row>
    <row r="40">
      <c r="A40" s="11" t="n"/>
      <c r="B40" s="5" t="n"/>
      <c r="C40" s="5" t="n"/>
      <c r="D40" s="5" t="n"/>
      <c r="E40" s="9">
        <f>IF(C40="","",IFERROR(VLOOKUP(C40,'Tableau de routage'!$A$5:$L$29,3,FALSE),""))</f>
        <v/>
      </c>
      <c r="F40" s="9">
        <f>IF(C40="","",IFERROR(VLOOKUP(C40,'Tableau de routage'!$A$5:$L$29,4,FALSE),""))</f>
        <v/>
      </c>
      <c r="G40" s="6" t="n"/>
      <c r="H40" s="11" t="n"/>
      <c r="I40" s="9">
        <f>IF(A40="","",IF(AND(WEEKDAY(A40,2)&lt;=5,COUNTIF('Horaires'!$A$9:$A$38,INT(A40))=0,MOD(A40,1)&gt;='Horaires'!$B$4,MOD(A40,1)&lt;'Horaires'!$B$5),"Oui","Non"))</f>
        <v/>
      </c>
      <c r="J40" s="12">
        <f>IF(OR(A40="",C40=""),"",IFERROR(IF(I40="Oui",A40+VLOOKUP(C40,'Tableau de routage'!$A$5:$L$29,6,FALSE)/1440,IF(AND(WEEKDAY(A40,2)&lt;=5,COUNTIF('Horaires'!$A$9:$A$38,INT(A40))=0,MOD(A40,1)&lt;'Horaires'!$B$4),INT(A40),WORKDAY(INT(A40),1,'Horaires'!$A$9:$A$38))+VLOOKUP(C40,'Tableau de routage'!$A$5:$L$29,7,FALSE)),""))</f>
        <v/>
      </c>
      <c r="K40" s="9">
        <f>IF(OR(A40="",H40=""),"",ROUND((H40-A40)*1440,0))</f>
        <v/>
      </c>
      <c r="L40" s="8">
        <f>IF(OR(A40="",J40=""),"",IF(H40="",IF(NOW()&gt;J40,"Sans réponse","En cours"),IF(ROUND((H40-J40)*1440,0)&lt;=0,"À temps","En retard")))</f>
        <v/>
      </c>
      <c r="M40" s="6" t="n"/>
      <c r="N40" s="5" t="n"/>
    </row>
    <row r="41">
      <c r="A41" s="11" t="n"/>
      <c r="B41" s="5" t="n"/>
      <c r="C41" s="5" t="n"/>
      <c r="D41" s="5" t="n"/>
      <c r="E41" s="9">
        <f>IF(C41="","",IFERROR(VLOOKUP(C41,'Tableau de routage'!$A$5:$L$29,3,FALSE),""))</f>
        <v/>
      </c>
      <c r="F41" s="9">
        <f>IF(C41="","",IFERROR(VLOOKUP(C41,'Tableau de routage'!$A$5:$L$29,4,FALSE),""))</f>
        <v/>
      </c>
      <c r="G41" s="6" t="n"/>
      <c r="H41" s="11" t="n"/>
      <c r="I41" s="9">
        <f>IF(A41="","",IF(AND(WEEKDAY(A41,2)&lt;=5,COUNTIF('Horaires'!$A$9:$A$38,INT(A41))=0,MOD(A41,1)&gt;='Horaires'!$B$4,MOD(A41,1)&lt;'Horaires'!$B$5),"Oui","Non"))</f>
        <v/>
      </c>
      <c r="J41" s="12">
        <f>IF(OR(A41="",C41=""),"",IFERROR(IF(I41="Oui",A41+VLOOKUP(C41,'Tableau de routage'!$A$5:$L$29,6,FALSE)/1440,IF(AND(WEEKDAY(A41,2)&lt;=5,COUNTIF('Horaires'!$A$9:$A$38,INT(A41))=0,MOD(A41,1)&lt;'Horaires'!$B$4),INT(A41),WORKDAY(INT(A41),1,'Horaires'!$A$9:$A$38))+VLOOKUP(C41,'Tableau de routage'!$A$5:$L$29,7,FALSE)),""))</f>
        <v/>
      </c>
      <c r="K41" s="9">
        <f>IF(OR(A41="",H41=""),"",ROUND((H41-A41)*1440,0))</f>
        <v/>
      </c>
      <c r="L41" s="8">
        <f>IF(OR(A41="",J41=""),"",IF(H41="",IF(NOW()&gt;J41,"Sans réponse","En cours"),IF(ROUND((H41-J41)*1440,0)&lt;=0,"À temps","En retard")))</f>
        <v/>
      </c>
      <c r="M41" s="6" t="n"/>
      <c r="N41" s="5" t="n"/>
    </row>
    <row r="42">
      <c r="A42" s="11" t="n"/>
      <c r="B42" s="5" t="n"/>
      <c r="C42" s="5" t="n"/>
      <c r="D42" s="5" t="n"/>
      <c r="E42" s="9">
        <f>IF(C42="","",IFERROR(VLOOKUP(C42,'Tableau de routage'!$A$5:$L$29,3,FALSE),""))</f>
        <v/>
      </c>
      <c r="F42" s="9">
        <f>IF(C42="","",IFERROR(VLOOKUP(C42,'Tableau de routage'!$A$5:$L$29,4,FALSE),""))</f>
        <v/>
      </c>
      <c r="G42" s="6" t="n"/>
      <c r="H42" s="11" t="n"/>
      <c r="I42" s="9">
        <f>IF(A42="","",IF(AND(WEEKDAY(A42,2)&lt;=5,COUNTIF('Horaires'!$A$9:$A$38,INT(A42))=0,MOD(A42,1)&gt;='Horaires'!$B$4,MOD(A42,1)&lt;'Horaires'!$B$5),"Oui","Non"))</f>
        <v/>
      </c>
      <c r="J42" s="12">
        <f>IF(OR(A42="",C42=""),"",IFERROR(IF(I42="Oui",A42+VLOOKUP(C42,'Tableau de routage'!$A$5:$L$29,6,FALSE)/1440,IF(AND(WEEKDAY(A42,2)&lt;=5,COUNTIF('Horaires'!$A$9:$A$38,INT(A42))=0,MOD(A42,1)&lt;'Horaires'!$B$4),INT(A42),WORKDAY(INT(A42),1,'Horaires'!$A$9:$A$38))+VLOOKUP(C42,'Tableau de routage'!$A$5:$L$29,7,FALSE)),""))</f>
        <v/>
      </c>
      <c r="K42" s="9">
        <f>IF(OR(A42="",H42=""),"",ROUND((H42-A42)*1440,0))</f>
        <v/>
      </c>
      <c r="L42" s="8">
        <f>IF(OR(A42="",J42=""),"",IF(H42="",IF(NOW()&gt;J42,"Sans réponse","En cours"),IF(ROUND((H42-J42)*1440,0)&lt;=0,"À temps","En retard")))</f>
        <v/>
      </c>
      <c r="M42" s="6" t="n"/>
      <c r="N42" s="5" t="n"/>
    </row>
    <row r="43">
      <c r="A43" s="11" t="n"/>
      <c r="B43" s="5" t="n"/>
      <c r="C43" s="5" t="n"/>
      <c r="D43" s="5" t="n"/>
      <c r="E43" s="9">
        <f>IF(C43="","",IFERROR(VLOOKUP(C43,'Tableau de routage'!$A$5:$L$29,3,FALSE),""))</f>
        <v/>
      </c>
      <c r="F43" s="9">
        <f>IF(C43="","",IFERROR(VLOOKUP(C43,'Tableau de routage'!$A$5:$L$29,4,FALSE),""))</f>
        <v/>
      </c>
      <c r="G43" s="6" t="n"/>
      <c r="H43" s="11" t="n"/>
      <c r="I43" s="9">
        <f>IF(A43="","",IF(AND(WEEKDAY(A43,2)&lt;=5,COUNTIF('Horaires'!$A$9:$A$38,INT(A43))=0,MOD(A43,1)&gt;='Horaires'!$B$4,MOD(A43,1)&lt;'Horaires'!$B$5),"Oui","Non"))</f>
        <v/>
      </c>
      <c r="J43" s="12">
        <f>IF(OR(A43="",C43=""),"",IFERROR(IF(I43="Oui",A43+VLOOKUP(C43,'Tableau de routage'!$A$5:$L$29,6,FALSE)/1440,IF(AND(WEEKDAY(A43,2)&lt;=5,COUNTIF('Horaires'!$A$9:$A$38,INT(A43))=0,MOD(A43,1)&lt;'Horaires'!$B$4),INT(A43),WORKDAY(INT(A43),1,'Horaires'!$A$9:$A$38))+VLOOKUP(C43,'Tableau de routage'!$A$5:$L$29,7,FALSE)),""))</f>
        <v/>
      </c>
      <c r="K43" s="9">
        <f>IF(OR(A43="",H43=""),"",ROUND((H43-A43)*1440,0))</f>
        <v/>
      </c>
      <c r="L43" s="8">
        <f>IF(OR(A43="",J43=""),"",IF(H43="",IF(NOW()&gt;J43,"Sans réponse","En cours"),IF(ROUND((H43-J43)*1440,0)&lt;=0,"À temps","En retard")))</f>
        <v/>
      </c>
      <c r="M43" s="6" t="n"/>
      <c r="N43" s="5" t="n"/>
    </row>
    <row r="44">
      <c r="A44" s="11" t="n"/>
      <c r="B44" s="5" t="n"/>
      <c r="C44" s="5" t="n"/>
      <c r="D44" s="5" t="n"/>
      <c r="E44" s="9">
        <f>IF(C44="","",IFERROR(VLOOKUP(C44,'Tableau de routage'!$A$5:$L$29,3,FALSE),""))</f>
        <v/>
      </c>
      <c r="F44" s="9">
        <f>IF(C44="","",IFERROR(VLOOKUP(C44,'Tableau de routage'!$A$5:$L$29,4,FALSE),""))</f>
        <v/>
      </c>
      <c r="G44" s="6" t="n"/>
      <c r="H44" s="11" t="n"/>
      <c r="I44" s="9">
        <f>IF(A44="","",IF(AND(WEEKDAY(A44,2)&lt;=5,COUNTIF('Horaires'!$A$9:$A$38,INT(A44))=0,MOD(A44,1)&gt;='Horaires'!$B$4,MOD(A44,1)&lt;'Horaires'!$B$5),"Oui","Non"))</f>
        <v/>
      </c>
      <c r="J44" s="12">
        <f>IF(OR(A44="",C44=""),"",IFERROR(IF(I44="Oui",A44+VLOOKUP(C44,'Tableau de routage'!$A$5:$L$29,6,FALSE)/1440,IF(AND(WEEKDAY(A44,2)&lt;=5,COUNTIF('Horaires'!$A$9:$A$38,INT(A44))=0,MOD(A44,1)&lt;'Horaires'!$B$4),INT(A44),WORKDAY(INT(A44),1,'Horaires'!$A$9:$A$38))+VLOOKUP(C44,'Tableau de routage'!$A$5:$L$29,7,FALSE)),""))</f>
        <v/>
      </c>
      <c r="K44" s="9">
        <f>IF(OR(A44="",H44=""),"",ROUND((H44-A44)*1440,0))</f>
        <v/>
      </c>
      <c r="L44" s="8">
        <f>IF(OR(A44="",J44=""),"",IF(H44="",IF(NOW()&gt;J44,"Sans réponse","En cours"),IF(ROUND((H44-J44)*1440,0)&lt;=0,"À temps","En retard")))</f>
        <v/>
      </c>
      <c r="M44" s="6" t="n"/>
      <c r="N44" s="5" t="n"/>
    </row>
    <row r="45">
      <c r="A45" s="11" t="n"/>
      <c r="B45" s="5" t="n"/>
      <c r="C45" s="5" t="n"/>
      <c r="D45" s="5" t="n"/>
      <c r="E45" s="9">
        <f>IF(C45="","",IFERROR(VLOOKUP(C45,'Tableau de routage'!$A$5:$L$29,3,FALSE),""))</f>
        <v/>
      </c>
      <c r="F45" s="9">
        <f>IF(C45="","",IFERROR(VLOOKUP(C45,'Tableau de routage'!$A$5:$L$29,4,FALSE),""))</f>
        <v/>
      </c>
      <c r="G45" s="6" t="n"/>
      <c r="H45" s="11" t="n"/>
      <c r="I45" s="9">
        <f>IF(A45="","",IF(AND(WEEKDAY(A45,2)&lt;=5,COUNTIF('Horaires'!$A$9:$A$38,INT(A45))=0,MOD(A45,1)&gt;='Horaires'!$B$4,MOD(A45,1)&lt;'Horaires'!$B$5),"Oui","Non"))</f>
        <v/>
      </c>
      <c r="J45" s="12">
        <f>IF(OR(A45="",C45=""),"",IFERROR(IF(I45="Oui",A45+VLOOKUP(C45,'Tableau de routage'!$A$5:$L$29,6,FALSE)/1440,IF(AND(WEEKDAY(A45,2)&lt;=5,COUNTIF('Horaires'!$A$9:$A$38,INT(A45))=0,MOD(A45,1)&lt;'Horaires'!$B$4),INT(A45),WORKDAY(INT(A45),1,'Horaires'!$A$9:$A$38))+VLOOKUP(C45,'Tableau de routage'!$A$5:$L$29,7,FALSE)),""))</f>
        <v/>
      </c>
      <c r="K45" s="9">
        <f>IF(OR(A45="",H45=""),"",ROUND((H45-A45)*1440,0))</f>
        <v/>
      </c>
      <c r="L45" s="8">
        <f>IF(OR(A45="",J45=""),"",IF(H45="",IF(NOW()&gt;J45,"Sans réponse","En cours"),IF(ROUND((H45-J45)*1440,0)&lt;=0,"À temps","En retard")))</f>
        <v/>
      </c>
      <c r="M45" s="6" t="n"/>
      <c r="N45" s="5" t="n"/>
    </row>
    <row r="46">
      <c r="A46" s="11" t="n"/>
      <c r="B46" s="5" t="n"/>
      <c r="C46" s="5" t="n"/>
      <c r="D46" s="5" t="n"/>
      <c r="E46" s="9">
        <f>IF(C46="","",IFERROR(VLOOKUP(C46,'Tableau de routage'!$A$5:$L$29,3,FALSE),""))</f>
        <v/>
      </c>
      <c r="F46" s="9">
        <f>IF(C46="","",IFERROR(VLOOKUP(C46,'Tableau de routage'!$A$5:$L$29,4,FALSE),""))</f>
        <v/>
      </c>
      <c r="G46" s="6" t="n"/>
      <c r="H46" s="11" t="n"/>
      <c r="I46" s="9">
        <f>IF(A46="","",IF(AND(WEEKDAY(A46,2)&lt;=5,COUNTIF('Horaires'!$A$9:$A$38,INT(A46))=0,MOD(A46,1)&gt;='Horaires'!$B$4,MOD(A46,1)&lt;'Horaires'!$B$5),"Oui","Non"))</f>
        <v/>
      </c>
      <c r="J46" s="12">
        <f>IF(OR(A46="",C46=""),"",IFERROR(IF(I46="Oui",A46+VLOOKUP(C46,'Tableau de routage'!$A$5:$L$29,6,FALSE)/1440,IF(AND(WEEKDAY(A46,2)&lt;=5,COUNTIF('Horaires'!$A$9:$A$38,INT(A46))=0,MOD(A46,1)&lt;'Horaires'!$B$4),INT(A46),WORKDAY(INT(A46),1,'Horaires'!$A$9:$A$38))+VLOOKUP(C46,'Tableau de routage'!$A$5:$L$29,7,FALSE)),""))</f>
        <v/>
      </c>
      <c r="K46" s="9">
        <f>IF(OR(A46="",H46=""),"",ROUND((H46-A46)*1440,0))</f>
        <v/>
      </c>
      <c r="L46" s="8">
        <f>IF(OR(A46="",J46=""),"",IF(H46="",IF(NOW()&gt;J46,"Sans réponse","En cours"),IF(ROUND((H46-J46)*1440,0)&lt;=0,"À temps","En retard")))</f>
        <v/>
      </c>
      <c r="M46" s="6" t="n"/>
      <c r="N46" s="5" t="n"/>
    </row>
    <row r="47">
      <c r="A47" s="11" t="n"/>
      <c r="B47" s="5" t="n"/>
      <c r="C47" s="5" t="n"/>
      <c r="D47" s="5" t="n"/>
      <c r="E47" s="9">
        <f>IF(C47="","",IFERROR(VLOOKUP(C47,'Tableau de routage'!$A$5:$L$29,3,FALSE),""))</f>
        <v/>
      </c>
      <c r="F47" s="9">
        <f>IF(C47="","",IFERROR(VLOOKUP(C47,'Tableau de routage'!$A$5:$L$29,4,FALSE),""))</f>
        <v/>
      </c>
      <c r="G47" s="6" t="n"/>
      <c r="H47" s="11" t="n"/>
      <c r="I47" s="9">
        <f>IF(A47="","",IF(AND(WEEKDAY(A47,2)&lt;=5,COUNTIF('Horaires'!$A$9:$A$38,INT(A47))=0,MOD(A47,1)&gt;='Horaires'!$B$4,MOD(A47,1)&lt;'Horaires'!$B$5),"Oui","Non"))</f>
        <v/>
      </c>
      <c r="J47" s="12">
        <f>IF(OR(A47="",C47=""),"",IFERROR(IF(I47="Oui",A47+VLOOKUP(C47,'Tableau de routage'!$A$5:$L$29,6,FALSE)/1440,IF(AND(WEEKDAY(A47,2)&lt;=5,COUNTIF('Horaires'!$A$9:$A$38,INT(A47))=0,MOD(A47,1)&lt;'Horaires'!$B$4),INT(A47),WORKDAY(INT(A47),1,'Horaires'!$A$9:$A$38))+VLOOKUP(C47,'Tableau de routage'!$A$5:$L$29,7,FALSE)),""))</f>
        <v/>
      </c>
      <c r="K47" s="9">
        <f>IF(OR(A47="",H47=""),"",ROUND((H47-A47)*1440,0))</f>
        <v/>
      </c>
      <c r="L47" s="8">
        <f>IF(OR(A47="",J47=""),"",IF(H47="",IF(NOW()&gt;J47,"Sans réponse","En cours"),IF(ROUND((H47-J47)*1440,0)&lt;=0,"À temps","En retard")))</f>
        <v/>
      </c>
      <c r="M47" s="6" t="n"/>
      <c r="N47" s="5" t="n"/>
    </row>
    <row r="48">
      <c r="A48" s="11" t="n"/>
      <c r="B48" s="5" t="n"/>
      <c r="C48" s="5" t="n"/>
      <c r="D48" s="5" t="n"/>
      <c r="E48" s="9">
        <f>IF(C48="","",IFERROR(VLOOKUP(C48,'Tableau de routage'!$A$5:$L$29,3,FALSE),""))</f>
        <v/>
      </c>
      <c r="F48" s="9">
        <f>IF(C48="","",IFERROR(VLOOKUP(C48,'Tableau de routage'!$A$5:$L$29,4,FALSE),""))</f>
        <v/>
      </c>
      <c r="G48" s="6" t="n"/>
      <c r="H48" s="11" t="n"/>
      <c r="I48" s="9">
        <f>IF(A48="","",IF(AND(WEEKDAY(A48,2)&lt;=5,COUNTIF('Horaires'!$A$9:$A$38,INT(A48))=0,MOD(A48,1)&gt;='Horaires'!$B$4,MOD(A48,1)&lt;'Horaires'!$B$5),"Oui","Non"))</f>
        <v/>
      </c>
      <c r="J48" s="12">
        <f>IF(OR(A48="",C48=""),"",IFERROR(IF(I48="Oui",A48+VLOOKUP(C48,'Tableau de routage'!$A$5:$L$29,6,FALSE)/1440,IF(AND(WEEKDAY(A48,2)&lt;=5,COUNTIF('Horaires'!$A$9:$A$38,INT(A48))=0,MOD(A48,1)&lt;'Horaires'!$B$4),INT(A48),WORKDAY(INT(A48),1,'Horaires'!$A$9:$A$38))+VLOOKUP(C48,'Tableau de routage'!$A$5:$L$29,7,FALSE)),""))</f>
        <v/>
      </c>
      <c r="K48" s="9">
        <f>IF(OR(A48="",H48=""),"",ROUND((H48-A48)*1440,0))</f>
        <v/>
      </c>
      <c r="L48" s="8">
        <f>IF(OR(A48="",J48=""),"",IF(H48="",IF(NOW()&gt;J48,"Sans réponse","En cours"),IF(ROUND((H48-J48)*1440,0)&lt;=0,"À temps","En retard")))</f>
        <v/>
      </c>
      <c r="M48" s="6" t="n"/>
      <c r="N48" s="5" t="n"/>
    </row>
    <row r="49">
      <c r="A49" s="11" t="n"/>
      <c r="B49" s="5" t="n"/>
      <c r="C49" s="5" t="n"/>
      <c r="D49" s="5" t="n"/>
      <c r="E49" s="9">
        <f>IF(C49="","",IFERROR(VLOOKUP(C49,'Tableau de routage'!$A$5:$L$29,3,FALSE),""))</f>
        <v/>
      </c>
      <c r="F49" s="9">
        <f>IF(C49="","",IFERROR(VLOOKUP(C49,'Tableau de routage'!$A$5:$L$29,4,FALSE),""))</f>
        <v/>
      </c>
      <c r="G49" s="6" t="n"/>
      <c r="H49" s="11" t="n"/>
      <c r="I49" s="9">
        <f>IF(A49="","",IF(AND(WEEKDAY(A49,2)&lt;=5,COUNTIF('Horaires'!$A$9:$A$38,INT(A49))=0,MOD(A49,1)&gt;='Horaires'!$B$4,MOD(A49,1)&lt;'Horaires'!$B$5),"Oui","Non"))</f>
        <v/>
      </c>
      <c r="J49" s="12">
        <f>IF(OR(A49="",C49=""),"",IFERROR(IF(I49="Oui",A49+VLOOKUP(C49,'Tableau de routage'!$A$5:$L$29,6,FALSE)/1440,IF(AND(WEEKDAY(A49,2)&lt;=5,COUNTIF('Horaires'!$A$9:$A$38,INT(A49))=0,MOD(A49,1)&lt;'Horaires'!$B$4),INT(A49),WORKDAY(INT(A49),1,'Horaires'!$A$9:$A$38))+VLOOKUP(C49,'Tableau de routage'!$A$5:$L$29,7,FALSE)),""))</f>
        <v/>
      </c>
      <c r="K49" s="9">
        <f>IF(OR(A49="",H49=""),"",ROUND((H49-A49)*1440,0))</f>
        <v/>
      </c>
      <c r="L49" s="8">
        <f>IF(OR(A49="",J49=""),"",IF(H49="",IF(NOW()&gt;J49,"Sans réponse","En cours"),IF(ROUND((H49-J49)*1440,0)&lt;=0,"À temps","En retard")))</f>
        <v/>
      </c>
      <c r="M49" s="6" t="n"/>
      <c r="N49" s="5" t="n"/>
    </row>
    <row r="50">
      <c r="A50" s="11" t="n"/>
      <c r="B50" s="5" t="n"/>
      <c r="C50" s="5" t="n"/>
      <c r="D50" s="5" t="n"/>
      <c r="E50" s="9">
        <f>IF(C50="","",IFERROR(VLOOKUP(C50,'Tableau de routage'!$A$5:$L$29,3,FALSE),""))</f>
        <v/>
      </c>
      <c r="F50" s="9">
        <f>IF(C50="","",IFERROR(VLOOKUP(C50,'Tableau de routage'!$A$5:$L$29,4,FALSE),""))</f>
        <v/>
      </c>
      <c r="G50" s="6" t="n"/>
      <c r="H50" s="11" t="n"/>
      <c r="I50" s="9">
        <f>IF(A50="","",IF(AND(WEEKDAY(A50,2)&lt;=5,COUNTIF('Horaires'!$A$9:$A$38,INT(A50))=0,MOD(A50,1)&gt;='Horaires'!$B$4,MOD(A50,1)&lt;'Horaires'!$B$5),"Oui","Non"))</f>
        <v/>
      </c>
      <c r="J50" s="12">
        <f>IF(OR(A50="",C50=""),"",IFERROR(IF(I50="Oui",A50+VLOOKUP(C50,'Tableau de routage'!$A$5:$L$29,6,FALSE)/1440,IF(AND(WEEKDAY(A50,2)&lt;=5,COUNTIF('Horaires'!$A$9:$A$38,INT(A50))=0,MOD(A50,1)&lt;'Horaires'!$B$4),INT(A50),WORKDAY(INT(A50),1,'Horaires'!$A$9:$A$38))+VLOOKUP(C50,'Tableau de routage'!$A$5:$L$29,7,FALSE)),""))</f>
        <v/>
      </c>
      <c r="K50" s="9">
        <f>IF(OR(A50="",H50=""),"",ROUND((H50-A50)*1440,0))</f>
        <v/>
      </c>
      <c r="L50" s="8">
        <f>IF(OR(A50="",J50=""),"",IF(H50="",IF(NOW()&gt;J50,"Sans réponse","En cours"),IF(ROUND((H50-J50)*1440,0)&lt;=0,"À temps","En retard")))</f>
        <v/>
      </c>
      <c r="M50" s="6" t="n"/>
      <c r="N50" s="5" t="n"/>
    </row>
    <row r="51">
      <c r="A51" s="11" t="n"/>
      <c r="B51" s="5" t="n"/>
      <c r="C51" s="5" t="n"/>
      <c r="D51" s="5" t="n"/>
      <c r="E51" s="9">
        <f>IF(C51="","",IFERROR(VLOOKUP(C51,'Tableau de routage'!$A$5:$L$29,3,FALSE),""))</f>
        <v/>
      </c>
      <c r="F51" s="9">
        <f>IF(C51="","",IFERROR(VLOOKUP(C51,'Tableau de routage'!$A$5:$L$29,4,FALSE),""))</f>
        <v/>
      </c>
      <c r="G51" s="6" t="n"/>
      <c r="H51" s="11" t="n"/>
      <c r="I51" s="9">
        <f>IF(A51="","",IF(AND(WEEKDAY(A51,2)&lt;=5,COUNTIF('Horaires'!$A$9:$A$38,INT(A51))=0,MOD(A51,1)&gt;='Horaires'!$B$4,MOD(A51,1)&lt;'Horaires'!$B$5),"Oui","Non"))</f>
        <v/>
      </c>
      <c r="J51" s="12">
        <f>IF(OR(A51="",C51=""),"",IFERROR(IF(I51="Oui",A51+VLOOKUP(C51,'Tableau de routage'!$A$5:$L$29,6,FALSE)/1440,IF(AND(WEEKDAY(A51,2)&lt;=5,COUNTIF('Horaires'!$A$9:$A$38,INT(A51))=0,MOD(A51,1)&lt;'Horaires'!$B$4),INT(A51),WORKDAY(INT(A51),1,'Horaires'!$A$9:$A$38))+VLOOKUP(C51,'Tableau de routage'!$A$5:$L$29,7,FALSE)),""))</f>
        <v/>
      </c>
      <c r="K51" s="9">
        <f>IF(OR(A51="",H51=""),"",ROUND((H51-A51)*1440,0))</f>
        <v/>
      </c>
      <c r="L51" s="8">
        <f>IF(OR(A51="",J51=""),"",IF(H51="",IF(NOW()&gt;J51,"Sans réponse","En cours"),IF(ROUND((H51-J51)*1440,0)&lt;=0,"À temps","En retard")))</f>
        <v/>
      </c>
      <c r="M51" s="6" t="n"/>
      <c r="N51" s="5" t="n"/>
    </row>
    <row r="52">
      <c r="A52" s="11" t="n"/>
      <c r="B52" s="5" t="n"/>
      <c r="C52" s="5" t="n"/>
      <c r="D52" s="5" t="n"/>
      <c r="E52" s="9">
        <f>IF(C52="","",IFERROR(VLOOKUP(C52,'Tableau de routage'!$A$5:$L$29,3,FALSE),""))</f>
        <v/>
      </c>
      <c r="F52" s="9">
        <f>IF(C52="","",IFERROR(VLOOKUP(C52,'Tableau de routage'!$A$5:$L$29,4,FALSE),""))</f>
        <v/>
      </c>
      <c r="G52" s="6" t="n"/>
      <c r="H52" s="11" t="n"/>
      <c r="I52" s="9">
        <f>IF(A52="","",IF(AND(WEEKDAY(A52,2)&lt;=5,COUNTIF('Horaires'!$A$9:$A$38,INT(A52))=0,MOD(A52,1)&gt;='Horaires'!$B$4,MOD(A52,1)&lt;'Horaires'!$B$5),"Oui","Non"))</f>
        <v/>
      </c>
      <c r="J52" s="12">
        <f>IF(OR(A52="",C52=""),"",IFERROR(IF(I52="Oui",A52+VLOOKUP(C52,'Tableau de routage'!$A$5:$L$29,6,FALSE)/1440,IF(AND(WEEKDAY(A52,2)&lt;=5,COUNTIF('Horaires'!$A$9:$A$38,INT(A52))=0,MOD(A52,1)&lt;'Horaires'!$B$4),INT(A52),WORKDAY(INT(A52),1,'Horaires'!$A$9:$A$38))+VLOOKUP(C52,'Tableau de routage'!$A$5:$L$29,7,FALSE)),""))</f>
        <v/>
      </c>
      <c r="K52" s="9">
        <f>IF(OR(A52="",H52=""),"",ROUND((H52-A52)*1440,0))</f>
        <v/>
      </c>
      <c r="L52" s="8">
        <f>IF(OR(A52="",J52=""),"",IF(H52="",IF(NOW()&gt;J52,"Sans réponse","En cours"),IF(ROUND((H52-J52)*1440,0)&lt;=0,"À temps","En retard")))</f>
        <v/>
      </c>
      <c r="M52" s="6" t="n"/>
      <c r="N52" s="5" t="n"/>
    </row>
    <row r="53">
      <c r="A53" s="11" t="n"/>
      <c r="B53" s="5" t="n"/>
      <c r="C53" s="5" t="n"/>
      <c r="D53" s="5" t="n"/>
      <c r="E53" s="9">
        <f>IF(C53="","",IFERROR(VLOOKUP(C53,'Tableau de routage'!$A$5:$L$29,3,FALSE),""))</f>
        <v/>
      </c>
      <c r="F53" s="9">
        <f>IF(C53="","",IFERROR(VLOOKUP(C53,'Tableau de routage'!$A$5:$L$29,4,FALSE),""))</f>
        <v/>
      </c>
      <c r="G53" s="6" t="n"/>
      <c r="H53" s="11" t="n"/>
      <c r="I53" s="9">
        <f>IF(A53="","",IF(AND(WEEKDAY(A53,2)&lt;=5,COUNTIF('Horaires'!$A$9:$A$38,INT(A53))=0,MOD(A53,1)&gt;='Horaires'!$B$4,MOD(A53,1)&lt;'Horaires'!$B$5),"Oui","Non"))</f>
        <v/>
      </c>
      <c r="J53" s="12">
        <f>IF(OR(A53="",C53=""),"",IFERROR(IF(I53="Oui",A53+VLOOKUP(C53,'Tableau de routage'!$A$5:$L$29,6,FALSE)/1440,IF(AND(WEEKDAY(A53,2)&lt;=5,COUNTIF('Horaires'!$A$9:$A$38,INT(A53))=0,MOD(A53,1)&lt;'Horaires'!$B$4),INT(A53),WORKDAY(INT(A53),1,'Horaires'!$A$9:$A$38))+VLOOKUP(C53,'Tableau de routage'!$A$5:$L$29,7,FALSE)),""))</f>
        <v/>
      </c>
      <c r="K53" s="9">
        <f>IF(OR(A53="",H53=""),"",ROUND((H53-A53)*1440,0))</f>
        <v/>
      </c>
      <c r="L53" s="8">
        <f>IF(OR(A53="",J53=""),"",IF(H53="",IF(NOW()&gt;J53,"Sans réponse","En cours"),IF(ROUND((H53-J53)*1440,0)&lt;=0,"À temps","En retard")))</f>
        <v/>
      </c>
      <c r="M53" s="6" t="n"/>
      <c r="N53" s="5" t="n"/>
    </row>
    <row r="54">
      <c r="A54" s="11" t="n"/>
      <c r="B54" s="5" t="n"/>
      <c r="C54" s="5" t="n"/>
      <c r="D54" s="5" t="n"/>
      <c r="E54" s="9">
        <f>IF(C54="","",IFERROR(VLOOKUP(C54,'Tableau de routage'!$A$5:$L$29,3,FALSE),""))</f>
        <v/>
      </c>
      <c r="F54" s="9">
        <f>IF(C54="","",IFERROR(VLOOKUP(C54,'Tableau de routage'!$A$5:$L$29,4,FALSE),""))</f>
        <v/>
      </c>
      <c r="G54" s="6" t="n"/>
      <c r="H54" s="11" t="n"/>
      <c r="I54" s="9">
        <f>IF(A54="","",IF(AND(WEEKDAY(A54,2)&lt;=5,COUNTIF('Horaires'!$A$9:$A$38,INT(A54))=0,MOD(A54,1)&gt;='Horaires'!$B$4,MOD(A54,1)&lt;'Horaires'!$B$5),"Oui","Non"))</f>
        <v/>
      </c>
      <c r="J54" s="12">
        <f>IF(OR(A54="",C54=""),"",IFERROR(IF(I54="Oui",A54+VLOOKUP(C54,'Tableau de routage'!$A$5:$L$29,6,FALSE)/1440,IF(AND(WEEKDAY(A54,2)&lt;=5,COUNTIF('Horaires'!$A$9:$A$38,INT(A54))=0,MOD(A54,1)&lt;'Horaires'!$B$4),INT(A54),WORKDAY(INT(A54),1,'Horaires'!$A$9:$A$38))+VLOOKUP(C54,'Tableau de routage'!$A$5:$L$29,7,FALSE)),""))</f>
        <v/>
      </c>
      <c r="K54" s="9">
        <f>IF(OR(A54="",H54=""),"",ROUND((H54-A54)*1440,0))</f>
        <v/>
      </c>
      <c r="L54" s="8">
        <f>IF(OR(A54="",J54=""),"",IF(H54="",IF(NOW()&gt;J54,"Sans réponse","En cours"),IF(ROUND((H54-J54)*1440,0)&lt;=0,"À temps","En retard")))</f>
        <v/>
      </c>
      <c r="M54" s="6" t="n"/>
      <c r="N54" s="5" t="n"/>
    </row>
    <row r="55">
      <c r="A55" s="11" t="n"/>
      <c r="B55" s="5" t="n"/>
      <c r="C55" s="5" t="n"/>
      <c r="D55" s="5" t="n"/>
      <c r="E55" s="9">
        <f>IF(C55="","",IFERROR(VLOOKUP(C55,'Tableau de routage'!$A$5:$L$29,3,FALSE),""))</f>
        <v/>
      </c>
      <c r="F55" s="9">
        <f>IF(C55="","",IFERROR(VLOOKUP(C55,'Tableau de routage'!$A$5:$L$29,4,FALSE),""))</f>
        <v/>
      </c>
      <c r="G55" s="6" t="n"/>
      <c r="H55" s="11" t="n"/>
      <c r="I55" s="9">
        <f>IF(A55="","",IF(AND(WEEKDAY(A55,2)&lt;=5,COUNTIF('Horaires'!$A$9:$A$38,INT(A55))=0,MOD(A55,1)&gt;='Horaires'!$B$4,MOD(A55,1)&lt;'Horaires'!$B$5),"Oui","Non"))</f>
        <v/>
      </c>
      <c r="J55" s="12">
        <f>IF(OR(A55="",C55=""),"",IFERROR(IF(I55="Oui",A55+VLOOKUP(C55,'Tableau de routage'!$A$5:$L$29,6,FALSE)/1440,IF(AND(WEEKDAY(A55,2)&lt;=5,COUNTIF('Horaires'!$A$9:$A$38,INT(A55))=0,MOD(A55,1)&lt;'Horaires'!$B$4),INT(A55),WORKDAY(INT(A55),1,'Horaires'!$A$9:$A$38))+VLOOKUP(C55,'Tableau de routage'!$A$5:$L$29,7,FALSE)),""))</f>
        <v/>
      </c>
      <c r="K55" s="9">
        <f>IF(OR(A55="",H55=""),"",ROUND((H55-A55)*1440,0))</f>
        <v/>
      </c>
      <c r="L55" s="8">
        <f>IF(OR(A55="",J55=""),"",IF(H55="",IF(NOW()&gt;J55,"Sans réponse","En cours"),IF(ROUND((H55-J55)*1440,0)&lt;=0,"À temps","En retard")))</f>
        <v/>
      </c>
      <c r="M55" s="6" t="n"/>
      <c r="N55" s="5" t="n"/>
    </row>
    <row r="56">
      <c r="A56" s="11" t="n"/>
      <c r="B56" s="5" t="n"/>
      <c r="C56" s="5" t="n"/>
      <c r="D56" s="5" t="n"/>
      <c r="E56" s="9">
        <f>IF(C56="","",IFERROR(VLOOKUP(C56,'Tableau de routage'!$A$5:$L$29,3,FALSE),""))</f>
        <v/>
      </c>
      <c r="F56" s="9">
        <f>IF(C56="","",IFERROR(VLOOKUP(C56,'Tableau de routage'!$A$5:$L$29,4,FALSE),""))</f>
        <v/>
      </c>
      <c r="G56" s="6" t="n"/>
      <c r="H56" s="11" t="n"/>
      <c r="I56" s="9">
        <f>IF(A56="","",IF(AND(WEEKDAY(A56,2)&lt;=5,COUNTIF('Horaires'!$A$9:$A$38,INT(A56))=0,MOD(A56,1)&gt;='Horaires'!$B$4,MOD(A56,1)&lt;'Horaires'!$B$5),"Oui","Non"))</f>
        <v/>
      </c>
      <c r="J56" s="12">
        <f>IF(OR(A56="",C56=""),"",IFERROR(IF(I56="Oui",A56+VLOOKUP(C56,'Tableau de routage'!$A$5:$L$29,6,FALSE)/1440,IF(AND(WEEKDAY(A56,2)&lt;=5,COUNTIF('Horaires'!$A$9:$A$38,INT(A56))=0,MOD(A56,1)&lt;'Horaires'!$B$4),INT(A56),WORKDAY(INT(A56),1,'Horaires'!$A$9:$A$38))+VLOOKUP(C56,'Tableau de routage'!$A$5:$L$29,7,FALSE)),""))</f>
        <v/>
      </c>
      <c r="K56" s="9">
        <f>IF(OR(A56="",H56=""),"",ROUND((H56-A56)*1440,0))</f>
        <v/>
      </c>
      <c r="L56" s="8">
        <f>IF(OR(A56="",J56=""),"",IF(H56="",IF(NOW()&gt;J56,"Sans réponse","En cours"),IF(ROUND((H56-J56)*1440,0)&lt;=0,"À temps","En retard")))</f>
        <v/>
      </c>
      <c r="M56" s="6" t="n"/>
      <c r="N56" s="5" t="n"/>
    </row>
    <row r="57">
      <c r="A57" s="11" t="n"/>
      <c r="B57" s="5" t="n"/>
      <c r="C57" s="5" t="n"/>
      <c r="D57" s="5" t="n"/>
      <c r="E57" s="9">
        <f>IF(C57="","",IFERROR(VLOOKUP(C57,'Tableau de routage'!$A$5:$L$29,3,FALSE),""))</f>
        <v/>
      </c>
      <c r="F57" s="9">
        <f>IF(C57="","",IFERROR(VLOOKUP(C57,'Tableau de routage'!$A$5:$L$29,4,FALSE),""))</f>
        <v/>
      </c>
      <c r="G57" s="6" t="n"/>
      <c r="H57" s="11" t="n"/>
      <c r="I57" s="9">
        <f>IF(A57="","",IF(AND(WEEKDAY(A57,2)&lt;=5,COUNTIF('Horaires'!$A$9:$A$38,INT(A57))=0,MOD(A57,1)&gt;='Horaires'!$B$4,MOD(A57,1)&lt;'Horaires'!$B$5),"Oui","Non"))</f>
        <v/>
      </c>
      <c r="J57" s="12">
        <f>IF(OR(A57="",C57=""),"",IFERROR(IF(I57="Oui",A57+VLOOKUP(C57,'Tableau de routage'!$A$5:$L$29,6,FALSE)/1440,IF(AND(WEEKDAY(A57,2)&lt;=5,COUNTIF('Horaires'!$A$9:$A$38,INT(A57))=0,MOD(A57,1)&lt;'Horaires'!$B$4),INT(A57),WORKDAY(INT(A57),1,'Horaires'!$A$9:$A$38))+VLOOKUP(C57,'Tableau de routage'!$A$5:$L$29,7,FALSE)),""))</f>
        <v/>
      </c>
      <c r="K57" s="9">
        <f>IF(OR(A57="",H57=""),"",ROUND((H57-A57)*1440,0))</f>
        <v/>
      </c>
      <c r="L57" s="8">
        <f>IF(OR(A57="",J57=""),"",IF(H57="",IF(NOW()&gt;J57,"Sans réponse","En cours"),IF(ROUND((H57-J57)*1440,0)&lt;=0,"À temps","En retard")))</f>
        <v/>
      </c>
      <c r="M57" s="6" t="n"/>
      <c r="N57" s="5" t="n"/>
    </row>
    <row r="58">
      <c r="A58" s="11" t="n"/>
      <c r="B58" s="5" t="n"/>
      <c r="C58" s="5" t="n"/>
      <c r="D58" s="5" t="n"/>
      <c r="E58" s="9">
        <f>IF(C58="","",IFERROR(VLOOKUP(C58,'Tableau de routage'!$A$5:$L$29,3,FALSE),""))</f>
        <v/>
      </c>
      <c r="F58" s="9">
        <f>IF(C58="","",IFERROR(VLOOKUP(C58,'Tableau de routage'!$A$5:$L$29,4,FALSE),""))</f>
        <v/>
      </c>
      <c r="G58" s="6" t="n"/>
      <c r="H58" s="11" t="n"/>
      <c r="I58" s="9">
        <f>IF(A58="","",IF(AND(WEEKDAY(A58,2)&lt;=5,COUNTIF('Horaires'!$A$9:$A$38,INT(A58))=0,MOD(A58,1)&gt;='Horaires'!$B$4,MOD(A58,1)&lt;'Horaires'!$B$5),"Oui","Non"))</f>
        <v/>
      </c>
      <c r="J58" s="12">
        <f>IF(OR(A58="",C58=""),"",IFERROR(IF(I58="Oui",A58+VLOOKUP(C58,'Tableau de routage'!$A$5:$L$29,6,FALSE)/1440,IF(AND(WEEKDAY(A58,2)&lt;=5,COUNTIF('Horaires'!$A$9:$A$38,INT(A58))=0,MOD(A58,1)&lt;'Horaires'!$B$4),INT(A58),WORKDAY(INT(A58),1,'Horaires'!$A$9:$A$38))+VLOOKUP(C58,'Tableau de routage'!$A$5:$L$29,7,FALSE)),""))</f>
        <v/>
      </c>
      <c r="K58" s="9">
        <f>IF(OR(A58="",H58=""),"",ROUND((H58-A58)*1440,0))</f>
        <v/>
      </c>
      <c r="L58" s="8">
        <f>IF(OR(A58="",J58=""),"",IF(H58="",IF(NOW()&gt;J58,"Sans réponse","En cours"),IF(ROUND((H58-J58)*1440,0)&lt;=0,"À temps","En retard")))</f>
        <v/>
      </c>
      <c r="M58" s="6" t="n"/>
      <c r="N58" s="5" t="n"/>
    </row>
    <row r="59">
      <c r="A59" s="11" t="n"/>
      <c r="B59" s="5" t="n"/>
      <c r="C59" s="5" t="n"/>
      <c r="D59" s="5" t="n"/>
      <c r="E59" s="9">
        <f>IF(C59="","",IFERROR(VLOOKUP(C59,'Tableau de routage'!$A$5:$L$29,3,FALSE),""))</f>
        <v/>
      </c>
      <c r="F59" s="9">
        <f>IF(C59="","",IFERROR(VLOOKUP(C59,'Tableau de routage'!$A$5:$L$29,4,FALSE),""))</f>
        <v/>
      </c>
      <c r="G59" s="6" t="n"/>
      <c r="H59" s="11" t="n"/>
      <c r="I59" s="9">
        <f>IF(A59="","",IF(AND(WEEKDAY(A59,2)&lt;=5,COUNTIF('Horaires'!$A$9:$A$38,INT(A59))=0,MOD(A59,1)&gt;='Horaires'!$B$4,MOD(A59,1)&lt;'Horaires'!$B$5),"Oui","Non"))</f>
        <v/>
      </c>
      <c r="J59" s="12">
        <f>IF(OR(A59="",C59=""),"",IFERROR(IF(I59="Oui",A59+VLOOKUP(C59,'Tableau de routage'!$A$5:$L$29,6,FALSE)/1440,IF(AND(WEEKDAY(A59,2)&lt;=5,COUNTIF('Horaires'!$A$9:$A$38,INT(A59))=0,MOD(A59,1)&lt;'Horaires'!$B$4),INT(A59),WORKDAY(INT(A59),1,'Horaires'!$A$9:$A$38))+VLOOKUP(C59,'Tableau de routage'!$A$5:$L$29,7,FALSE)),""))</f>
        <v/>
      </c>
      <c r="K59" s="9">
        <f>IF(OR(A59="",H59=""),"",ROUND((H59-A59)*1440,0))</f>
        <v/>
      </c>
      <c r="L59" s="8">
        <f>IF(OR(A59="",J59=""),"",IF(H59="",IF(NOW()&gt;J59,"Sans réponse","En cours"),IF(ROUND((H59-J59)*1440,0)&lt;=0,"À temps","En retard")))</f>
        <v/>
      </c>
      <c r="M59" s="6" t="n"/>
      <c r="N59" s="5" t="n"/>
    </row>
    <row r="60">
      <c r="A60" s="11" t="n"/>
      <c r="B60" s="5" t="n"/>
      <c r="C60" s="5" t="n"/>
      <c r="D60" s="5" t="n"/>
      <c r="E60" s="9">
        <f>IF(C60="","",IFERROR(VLOOKUP(C60,'Tableau de routage'!$A$5:$L$29,3,FALSE),""))</f>
        <v/>
      </c>
      <c r="F60" s="9">
        <f>IF(C60="","",IFERROR(VLOOKUP(C60,'Tableau de routage'!$A$5:$L$29,4,FALSE),""))</f>
        <v/>
      </c>
      <c r="G60" s="6" t="n"/>
      <c r="H60" s="11" t="n"/>
      <c r="I60" s="9">
        <f>IF(A60="","",IF(AND(WEEKDAY(A60,2)&lt;=5,COUNTIF('Horaires'!$A$9:$A$38,INT(A60))=0,MOD(A60,1)&gt;='Horaires'!$B$4,MOD(A60,1)&lt;'Horaires'!$B$5),"Oui","Non"))</f>
        <v/>
      </c>
      <c r="J60" s="12">
        <f>IF(OR(A60="",C60=""),"",IFERROR(IF(I60="Oui",A60+VLOOKUP(C60,'Tableau de routage'!$A$5:$L$29,6,FALSE)/1440,IF(AND(WEEKDAY(A60,2)&lt;=5,COUNTIF('Horaires'!$A$9:$A$38,INT(A60))=0,MOD(A60,1)&lt;'Horaires'!$B$4),INT(A60),WORKDAY(INT(A60),1,'Horaires'!$A$9:$A$38))+VLOOKUP(C60,'Tableau de routage'!$A$5:$L$29,7,FALSE)),""))</f>
        <v/>
      </c>
      <c r="K60" s="9">
        <f>IF(OR(A60="",H60=""),"",ROUND((H60-A60)*1440,0))</f>
        <v/>
      </c>
      <c r="L60" s="8">
        <f>IF(OR(A60="",J60=""),"",IF(H60="",IF(NOW()&gt;J60,"Sans réponse","En cours"),IF(ROUND((H60-J60)*1440,0)&lt;=0,"À temps","En retard")))</f>
        <v/>
      </c>
      <c r="M60" s="6" t="n"/>
      <c r="N60" s="5" t="n"/>
    </row>
    <row r="61">
      <c r="A61" s="11" t="n"/>
      <c r="B61" s="5" t="n"/>
      <c r="C61" s="5" t="n"/>
      <c r="D61" s="5" t="n"/>
      <c r="E61" s="9">
        <f>IF(C61="","",IFERROR(VLOOKUP(C61,'Tableau de routage'!$A$5:$L$29,3,FALSE),""))</f>
        <v/>
      </c>
      <c r="F61" s="9">
        <f>IF(C61="","",IFERROR(VLOOKUP(C61,'Tableau de routage'!$A$5:$L$29,4,FALSE),""))</f>
        <v/>
      </c>
      <c r="G61" s="6" t="n"/>
      <c r="H61" s="11" t="n"/>
      <c r="I61" s="9">
        <f>IF(A61="","",IF(AND(WEEKDAY(A61,2)&lt;=5,COUNTIF('Horaires'!$A$9:$A$38,INT(A61))=0,MOD(A61,1)&gt;='Horaires'!$B$4,MOD(A61,1)&lt;'Horaires'!$B$5),"Oui","Non"))</f>
        <v/>
      </c>
      <c r="J61" s="12">
        <f>IF(OR(A61="",C61=""),"",IFERROR(IF(I61="Oui",A61+VLOOKUP(C61,'Tableau de routage'!$A$5:$L$29,6,FALSE)/1440,IF(AND(WEEKDAY(A61,2)&lt;=5,COUNTIF('Horaires'!$A$9:$A$38,INT(A61))=0,MOD(A61,1)&lt;'Horaires'!$B$4),INT(A61),WORKDAY(INT(A61),1,'Horaires'!$A$9:$A$38))+VLOOKUP(C61,'Tableau de routage'!$A$5:$L$29,7,FALSE)),""))</f>
        <v/>
      </c>
      <c r="K61" s="9">
        <f>IF(OR(A61="",H61=""),"",ROUND((H61-A61)*1440,0))</f>
        <v/>
      </c>
      <c r="L61" s="8">
        <f>IF(OR(A61="",J61=""),"",IF(H61="",IF(NOW()&gt;J61,"Sans réponse","En cours"),IF(ROUND((H61-J61)*1440,0)&lt;=0,"À temps","En retard")))</f>
        <v/>
      </c>
      <c r="M61" s="6" t="n"/>
      <c r="N61" s="5" t="n"/>
    </row>
    <row r="62">
      <c r="A62" s="11" t="n"/>
      <c r="B62" s="5" t="n"/>
      <c r="C62" s="5" t="n"/>
      <c r="D62" s="5" t="n"/>
      <c r="E62" s="9">
        <f>IF(C62="","",IFERROR(VLOOKUP(C62,'Tableau de routage'!$A$5:$L$29,3,FALSE),""))</f>
        <v/>
      </c>
      <c r="F62" s="9">
        <f>IF(C62="","",IFERROR(VLOOKUP(C62,'Tableau de routage'!$A$5:$L$29,4,FALSE),""))</f>
        <v/>
      </c>
      <c r="G62" s="6" t="n"/>
      <c r="H62" s="11" t="n"/>
      <c r="I62" s="9">
        <f>IF(A62="","",IF(AND(WEEKDAY(A62,2)&lt;=5,COUNTIF('Horaires'!$A$9:$A$38,INT(A62))=0,MOD(A62,1)&gt;='Horaires'!$B$4,MOD(A62,1)&lt;'Horaires'!$B$5),"Oui","Non"))</f>
        <v/>
      </c>
      <c r="J62" s="12">
        <f>IF(OR(A62="",C62=""),"",IFERROR(IF(I62="Oui",A62+VLOOKUP(C62,'Tableau de routage'!$A$5:$L$29,6,FALSE)/1440,IF(AND(WEEKDAY(A62,2)&lt;=5,COUNTIF('Horaires'!$A$9:$A$38,INT(A62))=0,MOD(A62,1)&lt;'Horaires'!$B$4),INT(A62),WORKDAY(INT(A62),1,'Horaires'!$A$9:$A$38))+VLOOKUP(C62,'Tableau de routage'!$A$5:$L$29,7,FALSE)),""))</f>
        <v/>
      </c>
      <c r="K62" s="9">
        <f>IF(OR(A62="",H62=""),"",ROUND((H62-A62)*1440,0))</f>
        <v/>
      </c>
      <c r="L62" s="8">
        <f>IF(OR(A62="",J62=""),"",IF(H62="",IF(NOW()&gt;J62,"Sans réponse","En cours"),IF(ROUND((H62-J62)*1440,0)&lt;=0,"À temps","En retard")))</f>
        <v/>
      </c>
      <c r="M62" s="6" t="n"/>
      <c r="N62" s="5" t="n"/>
    </row>
    <row r="63">
      <c r="A63" s="11" t="n"/>
      <c r="B63" s="5" t="n"/>
      <c r="C63" s="5" t="n"/>
      <c r="D63" s="5" t="n"/>
      <c r="E63" s="9">
        <f>IF(C63="","",IFERROR(VLOOKUP(C63,'Tableau de routage'!$A$5:$L$29,3,FALSE),""))</f>
        <v/>
      </c>
      <c r="F63" s="9">
        <f>IF(C63="","",IFERROR(VLOOKUP(C63,'Tableau de routage'!$A$5:$L$29,4,FALSE),""))</f>
        <v/>
      </c>
      <c r="G63" s="6" t="n"/>
      <c r="H63" s="11" t="n"/>
      <c r="I63" s="9">
        <f>IF(A63="","",IF(AND(WEEKDAY(A63,2)&lt;=5,COUNTIF('Horaires'!$A$9:$A$38,INT(A63))=0,MOD(A63,1)&gt;='Horaires'!$B$4,MOD(A63,1)&lt;'Horaires'!$B$5),"Oui","Non"))</f>
        <v/>
      </c>
      <c r="J63" s="12">
        <f>IF(OR(A63="",C63=""),"",IFERROR(IF(I63="Oui",A63+VLOOKUP(C63,'Tableau de routage'!$A$5:$L$29,6,FALSE)/1440,IF(AND(WEEKDAY(A63,2)&lt;=5,COUNTIF('Horaires'!$A$9:$A$38,INT(A63))=0,MOD(A63,1)&lt;'Horaires'!$B$4),INT(A63),WORKDAY(INT(A63),1,'Horaires'!$A$9:$A$38))+VLOOKUP(C63,'Tableau de routage'!$A$5:$L$29,7,FALSE)),""))</f>
        <v/>
      </c>
      <c r="K63" s="9">
        <f>IF(OR(A63="",H63=""),"",ROUND((H63-A63)*1440,0))</f>
        <v/>
      </c>
      <c r="L63" s="8">
        <f>IF(OR(A63="",J63=""),"",IF(H63="",IF(NOW()&gt;J63,"Sans réponse","En cours"),IF(ROUND((H63-J63)*1440,0)&lt;=0,"À temps","En retard")))</f>
        <v/>
      </c>
      <c r="M63" s="6" t="n"/>
      <c r="N63" s="5" t="n"/>
    </row>
    <row r="64">
      <c r="A64" s="11" t="n"/>
      <c r="B64" s="5" t="n"/>
      <c r="C64" s="5" t="n"/>
      <c r="D64" s="5" t="n"/>
      <c r="E64" s="9">
        <f>IF(C64="","",IFERROR(VLOOKUP(C64,'Tableau de routage'!$A$5:$L$29,3,FALSE),""))</f>
        <v/>
      </c>
      <c r="F64" s="9">
        <f>IF(C64="","",IFERROR(VLOOKUP(C64,'Tableau de routage'!$A$5:$L$29,4,FALSE),""))</f>
        <v/>
      </c>
      <c r="G64" s="6" t="n"/>
      <c r="H64" s="11" t="n"/>
      <c r="I64" s="9">
        <f>IF(A64="","",IF(AND(WEEKDAY(A64,2)&lt;=5,COUNTIF('Horaires'!$A$9:$A$38,INT(A64))=0,MOD(A64,1)&gt;='Horaires'!$B$4,MOD(A64,1)&lt;'Horaires'!$B$5),"Oui","Non"))</f>
        <v/>
      </c>
      <c r="J64" s="12">
        <f>IF(OR(A64="",C64=""),"",IFERROR(IF(I64="Oui",A64+VLOOKUP(C64,'Tableau de routage'!$A$5:$L$29,6,FALSE)/1440,IF(AND(WEEKDAY(A64,2)&lt;=5,COUNTIF('Horaires'!$A$9:$A$38,INT(A64))=0,MOD(A64,1)&lt;'Horaires'!$B$4),INT(A64),WORKDAY(INT(A64),1,'Horaires'!$A$9:$A$38))+VLOOKUP(C64,'Tableau de routage'!$A$5:$L$29,7,FALSE)),""))</f>
        <v/>
      </c>
      <c r="K64" s="9">
        <f>IF(OR(A64="",H64=""),"",ROUND((H64-A64)*1440,0))</f>
        <v/>
      </c>
      <c r="L64" s="8">
        <f>IF(OR(A64="",J64=""),"",IF(H64="",IF(NOW()&gt;J64,"Sans réponse","En cours"),IF(ROUND((H64-J64)*1440,0)&lt;=0,"À temps","En retard")))</f>
        <v/>
      </c>
      <c r="M64" s="6" t="n"/>
      <c r="N64" s="5" t="n"/>
    </row>
    <row r="65">
      <c r="A65" s="11" t="n"/>
      <c r="B65" s="5" t="n"/>
      <c r="C65" s="5" t="n"/>
      <c r="D65" s="5" t="n"/>
      <c r="E65" s="9">
        <f>IF(C65="","",IFERROR(VLOOKUP(C65,'Tableau de routage'!$A$5:$L$29,3,FALSE),""))</f>
        <v/>
      </c>
      <c r="F65" s="9">
        <f>IF(C65="","",IFERROR(VLOOKUP(C65,'Tableau de routage'!$A$5:$L$29,4,FALSE),""))</f>
        <v/>
      </c>
      <c r="G65" s="6" t="n"/>
      <c r="H65" s="11" t="n"/>
      <c r="I65" s="9">
        <f>IF(A65="","",IF(AND(WEEKDAY(A65,2)&lt;=5,COUNTIF('Horaires'!$A$9:$A$38,INT(A65))=0,MOD(A65,1)&gt;='Horaires'!$B$4,MOD(A65,1)&lt;'Horaires'!$B$5),"Oui","Non"))</f>
        <v/>
      </c>
      <c r="J65" s="12">
        <f>IF(OR(A65="",C65=""),"",IFERROR(IF(I65="Oui",A65+VLOOKUP(C65,'Tableau de routage'!$A$5:$L$29,6,FALSE)/1440,IF(AND(WEEKDAY(A65,2)&lt;=5,COUNTIF('Horaires'!$A$9:$A$38,INT(A65))=0,MOD(A65,1)&lt;'Horaires'!$B$4),INT(A65),WORKDAY(INT(A65),1,'Horaires'!$A$9:$A$38))+VLOOKUP(C65,'Tableau de routage'!$A$5:$L$29,7,FALSE)),""))</f>
        <v/>
      </c>
      <c r="K65" s="9">
        <f>IF(OR(A65="",H65=""),"",ROUND((H65-A65)*1440,0))</f>
        <v/>
      </c>
      <c r="L65" s="8">
        <f>IF(OR(A65="",J65=""),"",IF(H65="",IF(NOW()&gt;J65,"Sans réponse","En cours"),IF(ROUND((H65-J65)*1440,0)&lt;=0,"À temps","En retard")))</f>
        <v/>
      </c>
      <c r="M65" s="6" t="n"/>
      <c r="N65" s="5" t="n"/>
    </row>
    <row r="66">
      <c r="A66" s="11" t="n"/>
      <c r="B66" s="5" t="n"/>
      <c r="C66" s="5" t="n"/>
      <c r="D66" s="5" t="n"/>
      <c r="E66" s="9">
        <f>IF(C66="","",IFERROR(VLOOKUP(C66,'Tableau de routage'!$A$5:$L$29,3,FALSE),""))</f>
        <v/>
      </c>
      <c r="F66" s="9">
        <f>IF(C66="","",IFERROR(VLOOKUP(C66,'Tableau de routage'!$A$5:$L$29,4,FALSE),""))</f>
        <v/>
      </c>
      <c r="G66" s="6" t="n"/>
      <c r="H66" s="11" t="n"/>
      <c r="I66" s="9">
        <f>IF(A66="","",IF(AND(WEEKDAY(A66,2)&lt;=5,COUNTIF('Horaires'!$A$9:$A$38,INT(A66))=0,MOD(A66,1)&gt;='Horaires'!$B$4,MOD(A66,1)&lt;'Horaires'!$B$5),"Oui","Non"))</f>
        <v/>
      </c>
      <c r="J66" s="12">
        <f>IF(OR(A66="",C66=""),"",IFERROR(IF(I66="Oui",A66+VLOOKUP(C66,'Tableau de routage'!$A$5:$L$29,6,FALSE)/1440,IF(AND(WEEKDAY(A66,2)&lt;=5,COUNTIF('Horaires'!$A$9:$A$38,INT(A66))=0,MOD(A66,1)&lt;'Horaires'!$B$4),INT(A66),WORKDAY(INT(A66),1,'Horaires'!$A$9:$A$38))+VLOOKUP(C66,'Tableau de routage'!$A$5:$L$29,7,FALSE)),""))</f>
        <v/>
      </c>
      <c r="K66" s="9">
        <f>IF(OR(A66="",H66=""),"",ROUND((H66-A66)*1440,0))</f>
        <v/>
      </c>
      <c r="L66" s="8">
        <f>IF(OR(A66="",J66=""),"",IF(H66="",IF(NOW()&gt;J66,"Sans réponse","En cours"),IF(ROUND((H66-J66)*1440,0)&lt;=0,"À temps","En retard")))</f>
        <v/>
      </c>
      <c r="M66" s="6" t="n"/>
      <c r="N66" s="5" t="n"/>
    </row>
    <row r="67">
      <c r="A67" s="11" t="n"/>
      <c r="B67" s="5" t="n"/>
      <c r="C67" s="5" t="n"/>
      <c r="D67" s="5" t="n"/>
      <c r="E67" s="9">
        <f>IF(C67="","",IFERROR(VLOOKUP(C67,'Tableau de routage'!$A$5:$L$29,3,FALSE),""))</f>
        <v/>
      </c>
      <c r="F67" s="9">
        <f>IF(C67="","",IFERROR(VLOOKUP(C67,'Tableau de routage'!$A$5:$L$29,4,FALSE),""))</f>
        <v/>
      </c>
      <c r="G67" s="6" t="n"/>
      <c r="H67" s="11" t="n"/>
      <c r="I67" s="9">
        <f>IF(A67="","",IF(AND(WEEKDAY(A67,2)&lt;=5,COUNTIF('Horaires'!$A$9:$A$38,INT(A67))=0,MOD(A67,1)&gt;='Horaires'!$B$4,MOD(A67,1)&lt;'Horaires'!$B$5),"Oui","Non"))</f>
        <v/>
      </c>
      <c r="J67" s="12">
        <f>IF(OR(A67="",C67=""),"",IFERROR(IF(I67="Oui",A67+VLOOKUP(C67,'Tableau de routage'!$A$5:$L$29,6,FALSE)/1440,IF(AND(WEEKDAY(A67,2)&lt;=5,COUNTIF('Horaires'!$A$9:$A$38,INT(A67))=0,MOD(A67,1)&lt;'Horaires'!$B$4),INT(A67),WORKDAY(INT(A67),1,'Horaires'!$A$9:$A$38))+VLOOKUP(C67,'Tableau de routage'!$A$5:$L$29,7,FALSE)),""))</f>
        <v/>
      </c>
      <c r="K67" s="9">
        <f>IF(OR(A67="",H67=""),"",ROUND((H67-A67)*1440,0))</f>
        <v/>
      </c>
      <c r="L67" s="8">
        <f>IF(OR(A67="",J67=""),"",IF(H67="",IF(NOW()&gt;J67,"Sans réponse","En cours"),IF(ROUND((H67-J67)*1440,0)&lt;=0,"À temps","En retard")))</f>
        <v/>
      </c>
      <c r="M67" s="6" t="n"/>
      <c r="N67" s="5" t="n"/>
    </row>
    <row r="68">
      <c r="A68" s="11" t="n"/>
      <c r="B68" s="5" t="n"/>
      <c r="C68" s="5" t="n"/>
      <c r="D68" s="5" t="n"/>
      <c r="E68" s="9">
        <f>IF(C68="","",IFERROR(VLOOKUP(C68,'Tableau de routage'!$A$5:$L$29,3,FALSE),""))</f>
        <v/>
      </c>
      <c r="F68" s="9">
        <f>IF(C68="","",IFERROR(VLOOKUP(C68,'Tableau de routage'!$A$5:$L$29,4,FALSE),""))</f>
        <v/>
      </c>
      <c r="G68" s="6" t="n"/>
      <c r="H68" s="11" t="n"/>
      <c r="I68" s="9">
        <f>IF(A68="","",IF(AND(WEEKDAY(A68,2)&lt;=5,COUNTIF('Horaires'!$A$9:$A$38,INT(A68))=0,MOD(A68,1)&gt;='Horaires'!$B$4,MOD(A68,1)&lt;'Horaires'!$B$5),"Oui","Non"))</f>
        <v/>
      </c>
      <c r="J68" s="12">
        <f>IF(OR(A68="",C68=""),"",IFERROR(IF(I68="Oui",A68+VLOOKUP(C68,'Tableau de routage'!$A$5:$L$29,6,FALSE)/1440,IF(AND(WEEKDAY(A68,2)&lt;=5,COUNTIF('Horaires'!$A$9:$A$38,INT(A68))=0,MOD(A68,1)&lt;'Horaires'!$B$4),INT(A68),WORKDAY(INT(A68),1,'Horaires'!$A$9:$A$38))+VLOOKUP(C68,'Tableau de routage'!$A$5:$L$29,7,FALSE)),""))</f>
        <v/>
      </c>
      <c r="K68" s="9">
        <f>IF(OR(A68="",H68=""),"",ROUND((H68-A68)*1440,0))</f>
        <v/>
      </c>
      <c r="L68" s="8">
        <f>IF(OR(A68="",J68=""),"",IF(H68="",IF(NOW()&gt;J68,"Sans réponse","En cours"),IF(ROUND((H68-J68)*1440,0)&lt;=0,"À temps","En retard")))</f>
        <v/>
      </c>
      <c r="M68" s="6" t="n"/>
      <c r="N68" s="5" t="n"/>
    </row>
    <row r="69">
      <c r="A69" s="11" t="n"/>
      <c r="B69" s="5" t="n"/>
      <c r="C69" s="5" t="n"/>
      <c r="D69" s="5" t="n"/>
      <c r="E69" s="9">
        <f>IF(C69="","",IFERROR(VLOOKUP(C69,'Tableau de routage'!$A$5:$L$29,3,FALSE),""))</f>
        <v/>
      </c>
      <c r="F69" s="9">
        <f>IF(C69="","",IFERROR(VLOOKUP(C69,'Tableau de routage'!$A$5:$L$29,4,FALSE),""))</f>
        <v/>
      </c>
      <c r="G69" s="6" t="n"/>
      <c r="H69" s="11" t="n"/>
      <c r="I69" s="9">
        <f>IF(A69="","",IF(AND(WEEKDAY(A69,2)&lt;=5,COUNTIF('Horaires'!$A$9:$A$38,INT(A69))=0,MOD(A69,1)&gt;='Horaires'!$B$4,MOD(A69,1)&lt;'Horaires'!$B$5),"Oui","Non"))</f>
        <v/>
      </c>
      <c r="J69" s="12">
        <f>IF(OR(A69="",C69=""),"",IFERROR(IF(I69="Oui",A69+VLOOKUP(C69,'Tableau de routage'!$A$5:$L$29,6,FALSE)/1440,IF(AND(WEEKDAY(A69,2)&lt;=5,COUNTIF('Horaires'!$A$9:$A$38,INT(A69))=0,MOD(A69,1)&lt;'Horaires'!$B$4),INT(A69),WORKDAY(INT(A69),1,'Horaires'!$A$9:$A$38))+VLOOKUP(C69,'Tableau de routage'!$A$5:$L$29,7,FALSE)),""))</f>
        <v/>
      </c>
      <c r="K69" s="9">
        <f>IF(OR(A69="",H69=""),"",ROUND((H69-A69)*1440,0))</f>
        <v/>
      </c>
      <c r="L69" s="8">
        <f>IF(OR(A69="",J69=""),"",IF(H69="",IF(NOW()&gt;J69,"Sans réponse","En cours"),IF(ROUND((H69-J69)*1440,0)&lt;=0,"À temps","En retard")))</f>
        <v/>
      </c>
      <c r="M69" s="6" t="n"/>
      <c r="N69" s="5" t="n"/>
    </row>
    <row r="70">
      <c r="A70" s="11" t="n"/>
      <c r="B70" s="5" t="n"/>
      <c r="C70" s="5" t="n"/>
      <c r="D70" s="5" t="n"/>
      <c r="E70" s="9">
        <f>IF(C70="","",IFERROR(VLOOKUP(C70,'Tableau de routage'!$A$5:$L$29,3,FALSE),""))</f>
        <v/>
      </c>
      <c r="F70" s="9">
        <f>IF(C70="","",IFERROR(VLOOKUP(C70,'Tableau de routage'!$A$5:$L$29,4,FALSE),""))</f>
        <v/>
      </c>
      <c r="G70" s="6" t="n"/>
      <c r="H70" s="11" t="n"/>
      <c r="I70" s="9">
        <f>IF(A70="","",IF(AND(WEEKDAY(A70,2)&lt;=5,COUNTIF('Horaires'!$A$9:$A$38,INT(A70))=0,MOD(A70,1)&gt;='Horaires'!$B$4,MOD(A70,1)&lt;'Horaires'!$B$5),"Oui","Non"))</f>
        <v/>
      </c>
      <c r="J70" s="12">
        <f>IF(OR(A70="",C70=""),"",IFERROR(IF(I70="Oui",A70+VLOOKUP(C70,'Tableau de routage'!$A$5:$L$29,6,FALSE)/1440,IF(AND(WEEKDAY(A70,2)&lt;=5,COUNTIF('Horaires'!$A$9:$A$38,INT(A70))=0,MOD(A70,1)&lt;'Horaires'!$B$4),INT(A70),WORKDAY(INT(A70),1,'Horaires'!$A$9:$A$38))+VLOOKUP(C70,'Tableau de routage'!$A$5:$L$29,7,FALSE)),""))</f>
        <v/>
      </c>
      <c r="K70" s="9">
        <f>IF(OR(A70="",H70=""),"",ROUND((H70-A70)*1440,0))</f>
        <v/>
      </c>
      <c r="L70" s="8">
        <f>IF(OR(A70="",J70=""),"",IF(H70="",IF(NOW()&gt;J70,"Sans réponse","En cours"),IF(ROUND((H70-J70)*1440,0)&lt;=0,"À temps","En retard")))</f>
        <v/>
      </c>
      <c r="M70" s="6" t="n"/>
      <c r="N70" s="5" t="n"/>
    </row>
    <row r="71">
      <c r="A71" s="11" t="n"/>
      <c r="B71" s="5" t="n"/>
      <c r="C71" s="5" t="n"/>
      <c r="D71" s="5" t="n"/>
      <c r="E71" s="9">
        <f>IF(C71="","",IFERROR(VLOOKUP(C71,'Tableau de routage'!$A$5:$L$29,3,FALSE),""))</f>
        <v/>
      </c>
      <c r="F71" s="9">
        <f>IF(C71="","",IFERROR(VLOOKUP(C71,'Tableau de routage'!$A$5:$L$29,4,FALSE),""))</f>
        <v/>
      </c>
      <c r="G71" s="6" t="n"/>
      <c r="H71" s="11" t="n"/>
      <c r="I71" s="9">
        <f>IF(A71="","",IF(AND(WEEKDAY(A71,2)&lt;=5,COUNTIF('Horaires'!$A$9:$A$38,INT(A71))=0,MOD(A71,1)&gt;='Horaires'!$B$4,MOD(A71,1)&lt;'Horaires'!$B$5),"Oui","Non"))</f>
        <v/>
      </c>
      <c r="J71" s="12">
        <f>IF(OR(A71="",C71=""),"",IFERROR(IF(I71="Oui",A71+VLOOKUP(C71,'Tableau de routage'!$A$5:$L$29,6,FALSE)/1440,IF(AND(WEEKDAY(A71,2)&lt;=5,COUNTIF('Horaires'!$A$9:$A$38,INT(A71))=0,MOD(A71,1)&lt;'Horaires'!$B$4),INT(A71),WORKDAY(INT(A71),1,'Horaires'!$A$9:$A$38))+VLOOKUP(C71,'Tableau de routage'!$A$5:$L$29,7,FALSE)),""))</f>
        <v/>
      </c>
      <c r="K71" s="9">
        <f>IF(OR(A71="",H71=""),"",ROUND((H71-A71)*1440,0))</f>
        <v/>
      </c>
      <c r="L71" s="8">
        <f>IF(OR(A71="",J71=""),"",IF(H71="",IF(NOW()&gt;J71,"Sans réponse","En cours"),IF(ROUND((H71-J71)*1440,0)&lt;=0,"À temps","En retard")))</f>
        <v/>
      </c>
      <c r="M71" s="6" t="n"/>
      <c r="N71" s="5" t="n"/>
    </row>
    <row r="72">
      <c r="A72" s="11" t="n"/>
      <c r="B72" s="5" t="n"/>
      <c r="C72" s="5" t="n"/>
      <c r="D72" s="5" t="n"/>
      <c r="E72" s="9">
        <f>IF(C72="","",IFERROR(VLOOKUP(C72,'Tableau de routage'!$A$5:$L$29,3,FALSE),""))</f>
        <v/>
      </c>
      <c r="F72" s="9">
        <f>IF(C72="","",IFERROR(VLOOKUP(C72,'Tableau de routage'!$A$5:$L$29,4,FALSE),""))</f>
        <v/>
      </c>
      <c r="G72" s="6" t="n"/>
      <c r="H72" s="11" t="n"/>
      <c r="I72" s="9">
        <f>IF(A72="","",IF(AND(WEEKDAY(A72,2)&lt;=5,COUNTIF('Horaires'!$A$9:$A$38,INT(A72))=0,MOD(A72,1)&gt;='Horaires'!$B$4,MOD(A72,1)&lt;'Horaires'!$B$5),"Oui","Non"))</f>
        <v/>
      </c>
      <c r="J72" s="12">
        <f>IF(OR(A72="",C72=""),"",IFERROR(IF(I72="Oui",A72+VLOOKUP(C72,'Tableau de routage'!$A$5:$L$29,6,FALSE)/1440,IF(AND(WEEKDAY(A72,2)&lt;=5,COUNTIF('Horaires'!$A$9:$A$38,INT(A72))=0,MOD(A72,1)&lt;'Horaires'!$B$4),INT(A72),WORKDAY(INT(A72),1,'Horaires'!$A$9:$A$38))+VLOOKUP(C72,'Tableau de routage'!$A$5:$L$29,7,FALSE)),""))</f>
        <v/>
      </c>
      <c r="K72" s="9">
        <f>IF(OR(A72="",H72=""),"",ROUND((H72-A72)*1440,0))</f>
        <v/>
      </c>
      <c r="L72" s="8">
        <f>IF(OR(A72="",J72=""),"",IF(H72="",IF(NOW()&gt;J72,"Sans réponse","En cours"),IF(ROUND((H72-J72)*1440,0)&lt;=0,"À temps","En retard")))</f>
        <v/>
      </c>
      <c r="M72" s="6" t="n"/>
      <c r="N72" s="5" t="n"/>
    </row>
    <row r="73">
      <c r="A73" s="11" t="n"/>
      <c r="B73" s="5" t="n"/>
      <c r="C73" s="5" t="n"/>
      <c r="D73" s="5" t="n"/>
      <c r="E73" s="9">
        <f>IF(C73="","",IFERROR(VLOOKUP(C73,'Tableau de routage'!$A$5:$L$29,3,FALSE),""))</f>
        <v/>
      </c>
      <c r="F73" s="9">
        <f>IF(C73="","",IFERROR(VLOOKUP(C73,'Tableau de routage'!$A$5:$L$29,4,FALSE),""))</f>
        <v/>
      </c>
      <c r="G73" s="6" t="n"/>
      <c r="H73" s="11" t="n"/>
      <c r="I73" s="9">
        <f>IF(A73="","",IF(AND(WEEKDAY(A73,2)&lt;=5,COUNTIF('Horaires'!$A$9:$A$38,INT(A73))=0,MOD(A73,1)&gt;='Horaires'!$B$4,MOD(A73,1)&lt;'Horaires'!$B$5),"Oui","Non"))</f>
        <v/>
      </c>
      <c r="J73" s="12">
        <f>IF(OR(A73="",C73=""),"",IFERROR(IF(I73="Oui",A73+VLOOKUP(C73,'Tableau de routage'!$A$5:$L$29,6,FALSE)/1440,IF(AND(WEEKDAY(A73,2)&lt;=5,COUNTIF('Horaires'!$A$9:$A$38,INT(A73))=0,MOD(A73,1)&lt;'Horaires'!$B$4),INT(A73),WORKDAY(INT(A73),1,'Horaires'!$A$9:$A$38))+VLOOKUP(C73,'Tableau de routage'!$A$5:$L$29,7,FALSE)),""))</f>
        <v/>
      </c>
      <c r="K73" s="9">
        <f>IF(OR(A73="",H73=""),"",ROUND((H73-A73)*1440,0))</f>
        <v/>
      </c>
      <c r="L73" s="8">
        <f>IF(OR(A73="",J73=""),"",IF(H73="",IF(NOW()&gt;J73,"Sans réponse","En cours"),IF(ROUND((H73-J73)*1440,0)&lt;=0,"À temps","En retard")))</f>
        <v/>
      </c>
      <c r="M73" s="6" t="n"/>
      <c r="N73" s="5" t="n"/>
    </row>
    <row r="74">
      <c r="A74" s="11" t="n"/>
      <c r="B74" s="5" t="n"/>
      <c r="C74" s="5" t="n"/>
      <c r="D74" s="5" t="n"/>
      <c r="E74" s="9">
        <f>IF(C74="","",IFERROR(VLOOKUP(C74,'Tableau de routage'!$A$5:$L$29,3,FALSE),""))</f>
        <v/>
      </c>
      <c r="F74" s="9">
        <f>IF(C74="","",IFERROR(VLOOKUP(C74,'Tableau de routage'!$A$5:$L$29,4,FALSE),""))</f>
        <v/>
      </c>
      <c r="G74" s="6" t="n"/>
      <c r="H74" s="11" t="n"/>
      <c r="I74" s="9">
        <f>IF(A74="","",IF(AND(WEEKDAY(A74,2)&lt;=5,COUNTIF('Horaires'!$A$9:$A$38,INT(A74))=0,MOD(A74,1)&gt;='Horaires'!$B$4,MOD(A74,1)&lt;'Horaires'!$B$5),"Oui","Non"))</f>
        <v/>
      </c>
      <c r="J74" s="12">
        <f>IF(OR(A74="",C74=""),"",IFERROR(IF(I74="Oui",A74+VLOOKUP(C74,'Tableau de routage'!$A$5:$L$29,6,FALSE)/1440,IF(AND(WEEKDAY(A74,2)&lt;=5,COUNTIF('Horaires'!$A$9:$A$38,INT(A74))=0,MOD(A74,1)&lt;'Horaires'!$B$4),INT(A74),WORKDAY(INT(A74),1,'Horaires'!$A$9:$A$38))+VLOOKUP(C74,'Tableau de routage'!$A$5:$L$29,7,FALSE)),""))</f>
        <v/>
      </c>
      <c r="K74" s="9">
        <f>IF(OR(A74="",H74=""),"",ROUND((H74-A74)*1440,0))</f>
        <v/>
      </c>
      <c r="L74" s="8">
        <f>IF(OR(A74="",J74=""),"",IF(H74="",IF(NOW()&gt;J74,"Sans réponse","En cours"),IF(ROUND((H74-J74)*1440,0)&lt;=0,"À temps","En retard")))</f>
        <v/>
      </c>
      <c r="M74" s="6" t="n"/>
      <c r="N74" s="5" t="n"/>
    </row>
    <row r="75">
      <c r="A75" s="11" t="n"/>
      <c r="B75" s="5" t="n"/>
      <c r="C75" s="5" t="n"/>
      <c r="D75" s="5" t="n"/>
      <c r="E75" s="9">
        <f>IF(C75="","",IFERROR(VLOOKUP(C75,'Tableau de routage'!$A$5:$L$29,3,FALSE),""))</f>
        <v/>
      </c>
      <c r="F75" s="9">
        <f>IF(C75="","",IFERROR(VLOOKUP(C75,'Tableau de routage'!$A$5:$L$29,4,FALSE),""))</f>
        <v/>
      </c>
      <c r="G75" s="6" t="n"/>
      <c r="H75" s="11" t="n"/>
      <c r="I75" s="9">
        <f>IF(A75="","",IF(AND(WEEKDAY(A75,2)&lt;=5,COUNTIF('Horaires'!$A$9:$A$38,INT(A75))=0,MOD(A75,1)&gt;='Horaires'!$B$4,MOD(A75,1)&lt;'Horaires'!$B$5),"Oui","Non"))</f>
        <v/>
      </c>
      <c r="J75" s="12">
        <f>IF(OR(A75="",C75=""),"",IFERROR(IF(I75="Oui",A75+VLOOKUP(C75,'Tableau de routage'!$A$5:$L$29,6,FALSE)/1440,IF(AND(WEEKDAY(A75,2)&lt;=5,COUNTIF('Horaires'!$A$9:$A$38,INT(A75))=0,MOD(A75,1)&lt;'Horaires'!$B$4),INT(A75),WORKDAY(INT(A75),1,'Horaires'!$A$9:$A$38))+VLOOKUP(C75,'Tableau de routage'!$A$5:$L$29,7,FALSE)),""))</f>
        <v/>
      </c>
      <c r="K75" s="9">
        <f>IF(OR(A75="",H75=""),"",ROUND((H75-A75)*1440,0))</f>
        <v/>
      </c>
      <c r="L75" s="8">
        <f>IF(OR(A75="",J75=""),"",IF(H75="",IF(NOW()&gt;J75,"Sans réponse","En cours"),IF(ROUND((H75-J75)*1440,0)&lt;=0,"À temps","En retard")))</f>
        <v/>
      </c>
      <c r="M75" s="6" t="n"/>
      <c r="N75" s="5" t="n"/>
    </row>
    <row r="76">
      <c r="A76" s="11" t="n"/>
      <c r="B76" s="5" t="n"/>
      <c r="C76" s="5" t="n"/>
      <c r="D76" s="5" t="n"/>
      <c r="E76" s="9">
        <f>IF(C76="","",IFERROR(VLOOKUP(C76,'Tableau de routage'!$A$5:$L$29,3,FALSE),""))</f>
        <v/>
      </c>
      <c r="F76" s="9">
        <f>IF(C76="","",IFERROR(VLOOKUP(C76,'Tableau de routage'!$A$5:$L$29,4,FALSE),""))</f>
        <v/>
      </c>
      <c r="G76" s="6" t="n"/>
      <c r="H76" s="11" t="n"/>
      <c r="I76" s="9">
        <f>IF(A76="","",IF(AND(WEEKDAY(A76,2)&lt;=5,COUNTIF('Horaires'!$A$9:$A$38,INT(A76))=0,MOD(A76,1)&gt;='Horaires'!$B$4,MOD(A76,1)&lt;'Horaires'!$B$5),"Oui","Non"))</f>
        <v/>
      </c>
      <c r="J76" s="12">
        <f>IF(OR(A76="",C76=""),"",IFERROR(IF(I76="Oui",A76+VLOOKUP(C76,'Tableau de routage'!$A$5:$L$29,6,FALSE)/1440,IF(AND(WEEKDAY(A76,2)&lt;=5,COUNTIF('Horaires'!$A$9:$A$38,INT(A76))=0,MOD(A76,1)&lt;'Horaires'!$B$4),INT(A76),WORKDAY(INT(A76),1,'Horaires'!$A$9:$A$38))+VLOOKUP(C76,'Tableau de routage'!$A$5:$L$29,7,FALSE)),""))</f>
        <v/>
      </c>
      <c r="K76" s="9">
        <f>IF(OR(A76="",H76=""),"",ROUND((H76-A76)*1440,0))</f>
        <v/>
      </c>
      <c r="L76" s="8">
        <f>IF(OR(A76="",J76=""),"",IF(H76="",IF(NOW()&gt;J76,"Sans réponse","En cours"),IF(ROUND((H76-J76)*1440,0)&lt;=0,"À temps","En retard")))</f>
        <v/>
      </c>
      <c r="M76" s="6" t="n"/>
      <c r="N76" s="5" t="n"/>
    </row>
    <row r="77">
      <c r="A77" s="11" t="n"/>
      <c r="B77" s="5" t="n"/>
      <c r="C77" s="5" t="n"/>
      <c r="D77" s="5" t="n"/>
      <c r="E77" s="9">
        <f>IF(C77="","",IFERROR(VLOOKUP(C77,'Tableau de routage'!$A$5:$L$29,3,FALSE),""))</f>
        <v/>
      </c>
      <c r="F77" s="9">
        <f>IF(C77="","",IFERROR(VLOOKUP(C77,'Tableau de routage'!$A$5:$L$29,4,FALSE),""))</f>
        <v/>
      </c>
      <c r="G77" s="6" t="n"/>
      <c r="H77" s="11" t="n"/>
      <c r="I77" s="9">
        <f>IF(A77="","",IF(AND(WEEKDAY(A77,2)&lt;=5,COUNTIF('Horaires'!$A$9:$A$38,INT(A77))=0,MOD(A77,1)&gt;='Horaires'!$B$4,MOD(A77,1)&lt;'Horaires'!$B$5),"Oui","Non"))</f>
        <v/>
      </c>
      <c r="J77" s="12">
        <f>IF(OR(A77="",C77=""),"",IFERROR(IF(I77="Oui",A77+VLOOKUP(C77,'Tableau de routage'!$A$5:$L$29,6,FALSE)/1440,IF(AND(WEEKDAY(A77,2)&lt;=5,COUNTIF('Horaires'!$A$9:$A$38,INT(A77))=0,MOD(A77,1)&lt;'Horaires'!$B$4),INT(A77),WORKDAY(INT(A77),1,'Horaires'!$A$9:$A$38))+VLOOKUP(C77,'Tableau de routage'!$A$5:$L$29,7,FALSE)),""))</f>
        <v/>
      </c>
      <c r="K77" s="9">
        <f>IF(OR(A77="",H77=""),"",ROUND((H77-A77)*1440,0))</f>
        <v/>
      </c>
      <c r="L77" s="8">
        <f>IF(OR(A77="",J77=""),"",IF(H77="",IF(NOW()&gt;J77,"Sans réponse","En cours"),IF(ROUND((H77-J77)*1440,0)&lt;=0,"À temps","En retard")))</f>
        <v/>
      </c>
      <c r="M77" s="6" t="n"/>
      <c r="N77" s="5" t="n"/>
    </row>
    <row r="78">
      <c r="A78" s="11" t="n"/>
      <c r="B78" s="5" t="n"/>
      <c r="C78" s="5" t="n"/>
      <c r="D78" s="5" t="n"/>
      <c r="E78" s="9">
        <f>IF(C78="","",IFERROR(VLOOKUP(C78,'Tableau de routage'!$A$5:$L$29,3,FALSE),""))</f>
        <v/>
      </c>
      <c r="F78" s="9">
        <f>IF(C78="","",IFERROR(VLOOKUP(C78,'Tableau de routage'!$A$5:$L$29,4,FALSE),""))</f>
        <v/>
      </c>
      <c r="G78" s="6" t="n"/>
      <c r="H78" s="11" t="n"/>
      <c r="I78" s="9">
        <f>IF(A78="","",IF(AND(WEEKDAY(A78,2)&lt;=5,COUNTIF('Horaires'!$A$9:$A$38,INT(A78))=0,MOD(A78,1)&gt;='Horaires'!$B$4,MOD(A78,1)&lt;'Horaires'!$B$5),"Oui","Non"))</f>
        <v/>
      </c>
      <c r="J78" s="12">
        <f>IF(OR(A78="",C78=""),"",IFERROR(IF(I78="Oui",A78+VLOOKUP(C78,'Tableau de routage'!$A$5:$L$29,6,FALSE)/1440,IF(AND(WEEKDAY(A78,2)&lt;=5,COUNTIF('Horaires'!$A$9:$A$38,INT(A78))=0,MOD(A78,1)&lt;'Horaires'!$B$4),INT(A78),WORKDAY(INT(A78),1,'Horaires'!$A$9:$A$38))+VLOOKUP(C78,'Tableau de routage'!$A$5:$L$29,7,FALSE)),""))</f>
        <v/>
      </c>
      <c r="K78" s="9">
        <f>IF(OR(A78="",H78=""),"",ROUND((H78-A78)*1440,0))</f>
        <v/>
      </c>
      <c r="L78" s="8">
        <f>IF(OR(A78="",J78=""),"",IF(H78="",IF(NOW()&gt;J78,"Sans réponse","En cours"),IF(ROUND((H78-J78)*1440,0)&lt;=0,"À temps","En retard")))</f>
        <v/>
      </c>
      <c r="M78" s="6" t="n"/>
      <c r="N78" s="5" t="n"/>
    </row>
    <row r="79">
      <c r="A79" s="11" t="n"/>
      <c r="B79" s="5" t="n"/>
      <c r="C79" s="5" t="n"/>
      <c r="D79" s="5" t="n"/>
      <c r="E79" s="9">
        <f>IF(C79="","",IFERROR(VLOOKUP(C79,'Tableau de routage'!$A$5:$L$29,3,FALSE),""))</f>
        <v/>
      </c>
      <c r="F79" s="9">
        <f>IF(C79="","",IFERROR(VLOOKUP(C79,'Tableau de routage'!$A$5:$L$29,4,FALSE),""))</f>
        <v/>
      </c>
      <c r="G79" s="6" t="n"/>
      <c r="H79" s="11" t="n"/>
      <c r="I79" s="9">
        <f>IF(A79="","",IF(AND(WEEKDAY(A79,2)&lt;=5,COUNTIF('Horaires'!$A$9:$A$38,INT(A79))=0,MOD(A79,1)&gt;='Horaires'!$B$4,MOD(A79,1)&lt;'Horaires'!$B$5),"Oui","Non"))</f>
        <v/>
      </c>
      <c r="J79" s="12">
        <f>IF(OR(A79="",C79=""),"",IFERROR(IF(I79="Oui",A79+VLOOKUP(C79,'Tableau de routage'!$A$5:$L$29,6,FALSE)/1440,IF(AND(WEEKDAY(A79,2)&lt;=5,COUNTIF('Horaires'!$A$9:$A$38,INT(A79))=0,MOD(A79,1)&lt;'Horaires'!$B$4),INT(A79),WORKDAY(INT(A79),1,'Horaires'!$A$9:$A$38))+VLOOKUP(C79,'Tableau de routage'!$A$5:$L$29,7,FALSE)),""))</f>
        <v/>
      </c>
      <c r="K79" s="9">
        <f>IF(OR(A79="",H79=""),"",ROUND((H79-A79)*1440,0))</f>
        <v/>
      </c>
      <c r="L79" s="8">
        <f>IF(OR(A79="",J79=""),"",IF(H79="",IF(NOW()&gt;J79,"Sans réponse","En cours"),IF(ROUND((H79-J79)*1440,0)&lt;=0,"À temps","En retard")))</f>
        <v/>
      </c>
      <c r="M79" s="6" t="n"/>
      <c r="N79" s="5" t="n"/>
    </row>
    <row r="80">
      <c r="A80" s="11" t="n"/>
      <c r="B80" s="5" t="n"/>
      <c r="C80" s="5" t="n"/>
      <c r="D80" s="5" t="n"/>
      <c r="E80" s="9">
        <f>IF(C80="","",IFERROR(VLOOKUP(C80,'Tableau de routage'!$A$5:$L$29,3,FALSE),""))</f>
        <v/>
      </c>
      <c r="F80" s="9">
        <f>IF(C80="","",IFERROR(VLOOKUP(C80,'Tableau de routage'!$A$5:$L$29,4,FALSE),""))</f>
        <v/>
      </c>
      <c r="G80" s="6" t="n"/>
      <c r="H80" s="11" t="n"/>
      <c r="I80" s="9">
        <f>IF(A80="","",IF(AND(WEEKDAY(A80,2)&lt;=5,COUNTIF('Horaires'!$A$9:$A$38,INT(A80))=0,MOD(A80,1)&gt;='Horaires'!$B$4,MOD(A80,1)&lt;'Horaires'!$B$5),"Oui","Non"))</f>
        <v/>
      </c>
      <c r="J80" s="12">
        <f>IF(OR(A80="",C80=""),"",IFERROR(IF(I80="Oui",A80+VLOOKUP(C80,'Tableau de routage'!$A$5:$L$29,6,FALSE)/1440,IF(AND(WEEKDAY(A80,2)&lt;=5,COUNTIF('Horaires'!$A$9:$A$38,INT(A80))=0,MOD(A80,1)&lt;'Horaires'!$B$4),INT(A80),WORKDAY(INT(A80),1,'Horaires'!$A$9:$A$38))+VLOOKUP(C80,'Tableau de routage'!$A$5:$L$29,7,FALSE)),""))</f>
        <v/>
      </c>
      <c r="K80" s="9">
        <f>IF(OR(A80="",H80=""),"",ROUND((H80-A80)*1440,0))</f>
        <v/>
      </c>
      <c r="L80" s="8">
        <f>IF(OR(A80="",J80=""),"",IF(H80="",IF(NOW()&gt;J80,"Sans réponse","En cours"),IF(ROUND((H80-J80)*1440,0)&lt;=0,"À temps","En retard")))</f>
        <v/>
      </c>
      <c r="M80" s="6" t="n"/>
      <c r="N80" s="5" t="n"/>
    </row>
    <row r="81">
      <c r="A81" s="11" t="n"/>
      <c r="B81" s="5" t="n"/>
      <c r="C81" s="5" t="n"/>
      <c r="D81" s="5" t="n"/>
      <c r="E81" s="9">
        <f>IF(C81="","",IFERROR(VLOOKUP(C81,'Tableau de routage'!$A$5:$L$29,3,FALSE),""))</f>
        <v/>
      </c>
      <c r="F81" s="9">
        <f>IF(C81="","",IFERROR(VLOOKUP(C81,'Tableau de routage'!$A$5:$L$29,4,FALSE),""))</f>
        <v/>
      </c>
      <c r="G81" s="6" t="n"/>
      <c r="H81" s="11" t="n"/>
      <c r="I81" s="9">
        <f>IF(A81="","",IF(AND(WEEKDAY(A81,2)&lt;=5,COUNTIF('Horaires'!$A$9:$A$38,INT(A81))=0,MOD(A81,1)&gt;='Horaires'!$B$4,MOD(A81,1)&lt;'Horaires'!$B$5),"Oui","Non"))</f>
        <v/>
      </c>
      <c r="J81" s="12">
        <f>IF(OR(A81="",C81=""),"",IFERROR(IF(I81="Oui",A81+VLOOKUP(C81,'Tableau de routage'!$A$5:$L$29,6,FALSE)/1440,IF(AND(WEEKDAY(A81,2)&lt;=5,COUNTIF('Horaires'!$A$9:$A$38,INT(A81))=0,MOD(A81,1)&lt;'Horaires'!$B$4),INT(A81),WORKDAY(INT(A81),1,'Horaires'!$A$9:$A$38))+VLOOKUP(C81,'Tableau de routage'!$A$5:$L$29,7,FALSE)),""))</f>
        <v/>
      </c>
      <c r="K81" s="9">
        <f>IF(OR(A81="",H81=""),"",ROUND((H81-A81)*1440,0))</f>
        <v/>
      </c>
      <c r="L81" s="8">
        <f>IF(OR(A81="",J81=""),"",IF(H81="",IF(NOW()&gt;J81,"Sans réponse","En cours"),IF(ROUND((H81-J81)*1440,0)&lt;=0,"À temps","En retard")))</f>
        <v/>
      </c>
      <c r="M81" s="6" t="n"/>
      <c r="N81" s="5" t="n"/>
    </row>
    <row r="82">
      <c r="A82" s="11" t="n"/>
      <c r="B82" s="5" t="n"/>
      <c r="C82" s="5" t="n"/>
      <c r="D82" s="5" t="n"/>
      <c r="E82" s="9">
        <f>IF(C82="","",IFERROR(VLOOKUP(C82,'Tableau de routage'!$A$5:$L$29,3,FALSE),""))</f>
        <v/>
      </c>
      <c r="F82" s="9">
        <f>IF(C82="","",IFERROR(VLOOKUP(C82,'Tableau de routage'!$A$5:$L$29,4,FALSE),""))</f>
        <v/>
      </c>
      <c r="G82" s="6" t="n"/>
      <c r="H82" s="11" t="n"/>
      <c r="I82" s="9">
        <f>IF(A82="","",IF(AND(WEEKDAY(A82,2)&lt;=5,COUNTIF('Horaires'!$A$9:$A$38,INT(A82))=0,MOD(A82,1)&gt;='Horaires'!$B$4,MOD(A82,1)&lt;'Horaires'!$B$5),"Oui","Non"))</f>
        <v/>
      </c>
      <c r="J82" s="12">
        <f>IF(OR(A82="",C82=""),"",IFERROR(IF(I82="Oui",A82+VLOOKUP(C82,'Tableau de routage'!$A$5:$L$29,6,FALSE)/1440,IF(AND(WEEKDAY(A82,2)&lt;=5,COUNTIF('Horaires'!$A$9:$A$38,INT(A82))=0,MOD(A82,1)&lt;'Horaires'!$B$4),INT(A82),WORKDAY(INT(A82),1,'Horaires'!$A$9:$A$38))+VLOOKUP(C82,'Tableau de routage'!$A$5:$L$29,7,FALSE)),""))</f>
        <v/>
      </c>
      <c r="K82" s="9">
        <f>IF(OR(A82="",H82=""),"",ROUND((H82-A82)*1440,0))</f>
        <v/>
      </c>
      <c r="L82" s="8">
        <f>IF(OR(A82="",J82=""),"",IF(H82="",IF(NOW()&gt;J82,"Sans réponse","En cours"),IF(ROUND((H82-J82)*1440,0)&lt;=0,"À temps","En retard")))</f>
        <v/>
      </c>
      <c r="M82" s="6" t="n"/>
      <c r="N82" s="5" t="n"/>
    </row>
    <row r="83">
      <c r="A83" s="11" t="n"/>
      <c r="B83" s="5" t="n"/>
      <c r="C83" s="5" t="n"/>
      <c r="D83" s="5" t="n"/>
      <c r="E83" s="9">
        <f>IF(C83="","",IFERROR(VLOOKUP(C83,'Tableau de routage'!$A$5:$L$29,3,FALSE),""))</f>
        <v/>
      </c>
      <c r="F83" s="9">
        <f>IF(C83="","",IFERROR(VLOOKUP(C83,'Tableau de routage'!$A$5:$L$29,4,FALSE),""))</f>
        <v/>
      </c>
      <c r="G83" s="6" t="n"/>
      <c r="H83" s="11" t="n"/>
      <c r="I83" s="9">
        <f>IF(A83="","",IF(AND(WEEKDAY(A83,2)&lt;=5,COUNTIF('Horaires'!$A$9:$A$38,INT(A83))=0,MOD(A83,1)&gt;='Horaires'!$B$4,MOD(A83,1)&lt;'Horaires'!$B$5),"Oui","Non"))</f>
        <v/>
      </c>
      <c r="J83" s="12">
        <f>IF(OR(A83="",C83=""),"",IFERROR(IF(I83="Oui",A83+VLOOKUP(C83,'Tableau de routage'!$A$5:$L$29,6,FALSE)/1440,IF(AND(WEEKDAY(A83,2)&lt;=5,COUNTIF('Horaires'!$A$9:$A$38,INT(A83))=0,MOD(A83,1)&lt;'Horaires'!$B$4),INT(A83),WORKDAY(INT(A83),1,'Horaires'!$A$9:$A$38))+VLOOKUP(C83,'Tableau de routage'!$A$5:$L$29,7,FALSE)),""))</f>
        <v/>
      </c>
      <c r="K83" s="9">
        <f>IF(OR(A83="",H83=""),"",ROUND((H83-A83)*1440,0))</f>
        <v/>
      </c>
      <c r="L83" s="8">
        <f>IF(OR(A83="",J83=""),"",IF(H83="",IF(NOW()&gt;J83,"Sans réponse","En cours"),IF(ROUND((H83-J83)*1440,0)&lt;=0,"À temps","En retard")))</f>
        <v/>
      </c>
      <c r="M83" s="6" t="n"/>
      <c r="N83" s="5" t="n"/>
    </row>
    <row r="84">
      <c r="A84" s="11" t="n"/>
      <c r="B84" s="5" t="n"/>
      <c r="C84" s="5" t="n"/>
      <c r="D84" s="5" t="n"/>
      <c r="E84" s="9">
        <f>IF(C84="","",IFERROR(VLOOKUP(C84,'Tableau de routage'!$A$5:$L$29,3,FALSE),""))</f>
        <v/>
      </c>
      <c r="F84" s="9">
        <f>IF(C84="","",IFERROR(VLOOKUP(C84,'Tableau de routage'!$A$5:$L$29,4,FALSE),""))</f>
        <v/>
      </c>
      <c r="G84" s="6" t="n"/>
      <c r="H84" s="11" t="n"/>
      <c r="I84" s="9">
        <f>IF(A84="","",IF(AND(WEEKDAY(A84,2)&lt;=5,COUNTIF('Horaires'!$A$9:$A$38,INT(A84))=0,MOD(A84,1)&gt;='Horaires'!$B$4,MOD(A84,1)&lt;'Horaires'!$B$5),"Oui","Non"))</f>
        <v/>
      </c>
      <c r="J84" s="12">
        <f>IF(OR(A84="",C84=""),"",IFERROR(IF(I84="Oui",A84+VLOOKUP(C84,'Tableau de routage'!$A$5:$L$29,6,FALSE)/1440,IF(AND(WEEKDAY(A84,2)&lt;=5,COUNTIF('Horaires'!$A$9:$A$38,INT(A84))=0,MOD(A84,1)&lt;'Horaires'!$B$4),INT(A84),WORKDAY(INT(A84),1,'Horaires'!$A$9:$A$38))+VLOOKUP(C84,'Tableau de routage'!$A$5:$L$29,7,FALSE)),""))</f>
        <v/>
      </c>
      <c r="K84" s="9">
        <f>IF(OR(A84="",H84=""),"",ROUND((H84-A84)*1440,0))</f>
        <v/>
      </c>
      <c r="L84" s="8">
        <f>IF(OR(A84="",J84=""),"",IF(H84="",IF(NOW()&gt;J84,"Sans réponse","En cours"),IF(ROUND((H84-J84)*1440,0)&lt;=0,"À temps","En retard")))</f>
        <v/>
      </c>
      <c r="M84" s="6" t="n"/>
      <c r="N84" s="5" t="n"/>
    </row>
    <row r="85">
      <c r="A85" s="11" t="n"/>
      <c r="B85" s="5" t="n"/>
      <c r="C85" s="5" t="n"/>
      <c r="D85" s="5" t="n"/>
      <c r="E85" s="9">
        <f>IF(C85="","",IFERROR(VLOOKUP(C85,'Tableau de routage'!$A$5:$L$29,3,FALSE),""))</f>
        <v/>
      </c>
      <c r="F85" s="9">
        <f>IF(C85="","",IFERROR(VLOOKUP(C85,'Tableau de routage'!$A$5:$L$29,4,FALSE),""))</f>
        <v/>
      </c>
      <c r="G85" s="6" t="n"/>
      <c r="H85" s="11" t="n"/>
      <c r="I85" s="9">
        <f>IF(A85="","",IF(AND(WEEKDAY(A85,2)&lt;=5,COUNTIF('Horaires'!$A$9:$A$38,INT(A85))=0,MOD(A85,1)&gt;='Horaires'!$B$4,MOD(A85,1)&lt;'Horaires'!$B$5),"Oui","Non"))</f>
        <v/>
      </c>
      <c r="J85" s="12">
        <f>IF(OR(A85="",C85=""),"",IFERROR(IF(I85="Oui",A85+VLOOKUP(C85,'Tableau de routage'!$A$5:$L$29,6,FALSE)/1440,IF(AND(WEEKDAY(A85,2)&lt;=5,COUNTIF('Horaires'!$A$9:$A$38,INT(A85))=0,MOD(A85,1)&lt;'Horaires'!$B$4),INT(A85),WORKDAY(INT(A85),1,'Horaires'!$A$9:$A$38))+VLOOKUP(C85,'Tableau de routage'!$A$5:$L$29,7,FALSE)),""))</f>
        <v/>
      </c>
      <c r="K85" s="9">
        <f>IF(OR(A85="",H85=""),"",ROUND((H85-A85)*1440,0))</f>
        <v/>
      </c>
      <c r="L85" s="8">
        <f>IF(OR(A85="",J85=""),"",IF(H85="",IF(NOW()&gt;J85,"Sans réponse","En cours"),IF(ROUND((H85-J85)*1440,0)&lt;=0,"À temps","En retard")))</f>
        <v/>
      </c>
      <c r="M85" s="6" t="n"/>
      <c r="N85" s="5" t="n"/>
    </row>
    <row r="86">
      <c r="A86" s="11" t="n"/>
      <c r="B86" s="5" t="n"/>
      <c r="C86" s="5" t="n"/>
      <c r="D86" s="5" t="n"/>
      <c r="E86" s="9">
        <f>IF(C86="","",IFERROR(VLOOKUP(C86,'Tableau de routage'!$A$5:$L$29,3,FALSE),""))</f>
        <v/>
      </c>
      <c r="F86" s="9">
        <f>IF(C86="","",IFERROR(VLOOKUP(C86,'Tableau de routage'!$A$5:$L$29,4,FALSE),""))</f>
        <v/>
      </c>
      <c r="G86" s="6" t="n"/>
      <c r="H86" s="11" t="n"/>
      <c r="I86" s="9">
        <f>IF(A86="","",IF(AND(WEEKDAY(A86,2)&lt;=5,COUNTIF('Horaires'!$A$9:$A$38,INT(A86))=0,MOD(A86,1)&gt;='Horaires'!$B$4,MOD(A86,1)&lt;'Horaires'!$B$5),"Oui","Non"))</f>
        <v/>
      </c>
      <c r="J86" s="12">
        <f>IF(OR(A86="",C86=""),"",IFERROR(IF(I86="Oui",A86+VLOOKUP(C86,'Tableau de routage'!$A$5:$L$29,6,FALSE)/1440,IF(AND(WEEKDAY(A86,2)&lt;=5,COUNTIF('Horaires'!$A$9:$A$38,INT(A86))=0,MOD(A86,1)&lt;'Horaires'!$B$4),INT(A86),WORKDAY(INT(A86),1,'Horaires'!$A$9:$A$38))+VLOOKUP(C86,'Tableau de routage'!$A$5:$L$29,7,FALSE)),""))</f>
        <v/>
      </c>
      <c r="K86" s="9">
        <f>IF(OR(A86="",H86=""),"",ROUND((H86-A86)*1440,0))</f>
        <v/>
      </c>
      <c r="L86" s="8">
        <f>IF(OR(A86="",J86=""),"",IF(H86="",IF(NOW()&gt;J86,"Sans réponse","En cours"),IF(ROUND((H86-J86)*1440,0)&lt;=0,"À temps","En retard")))</f>
        <v/>
      </c>
      <c r="M86" s="6" t="n"/>
      <c r="N86" s="5" t="n"/>
    </row>
    <row r="87">
      <c r="A87" s="11" t="n"/>
      <c r="B87" s="5" t="n"/>
      <c r="C87" s="5" t="n"/>
      <c r="D87" s="5" t="n"/>
      <c r="E87" s="9">
        <f>IF(C87="","",IFERROR(VLOOKUP(C87,'Tableau de routage'!$A$5:$L$29,3,FALSE),""))</f>
        <v/>
      </c>
      <c r="F87" s="9">
        <f>IF(C87="","",IFERROR(VLOOKUP(C87,'Tableau de routage'!$A$5:$L$29,4,FALSE),""))</f>
        <v/>
      </c>
      <c r="G87" s="6" t="n"/>
      <c r="H87" s="11" t="n"/>
      <c r="I87" s="9">
        <f>IF(A87="","",IF(AND(WEEKDAY(A87,2)&lt;=5,COUNTIF('Horaires'!$A$9:$A$38,INT(A87))=0,MOD(A87,1)&gt;='Horaires'!$B$4,MOD(A87,1)&lt;'Horaires'!$B$5),"Oui","Non"))</f>
        <v/>
      </c>
      <c r="J87" s="12">
        <f>IF(OR(A87="",C87=""),"",IFERROR(IF(I87="Oui",A87+VLOOKUP(C87,'Tableau de routage'!$A$5:$L$29,6,FALSE)/1440,IF(AND(WEEKDAY(A87,2)&lt;=5,COUNTIF('Horaires'!$A$9:$A$38,INT(A87))=0,MOD(A87,1)&lt;'Horaires'!$B$4),INT(A87),WORKDAY(INT(A87),1,'Horaires'!$A$9:$A$38))+VLOOKUP(C87,'Tableau de routage'!$A$5:$L$29,7,FALSE)),""))</f>
        <v/>
      </c>
      <c r="K87" s="9">
        <f>IF(OR(A87="",H87=""),"",ROUND((H87-A87)*1440,0))</f>
        <v/>
      </c>
      <c r="L87" s="8">
        <f>IF(OR(A87="",J87=""),"",IF(H87="",IF(NOW()&gt;J87,"Sans réponse","En cours"),IF(ROUND((H87-J87)*1440,0)&lt;=0,"À temps","En retard")))</f>
        <v/>
      </c>
      <c r="M87" s="6" t="n"/>
      <c r="N87" s="5" t="n"/>
    </row>
    <row r="88">
      <c r="A88" s="11" t="n"/>
      <c r="B88" s="5" t="n"/>
      <c r="C88" s="5" t="n"/>
      <c r="D88" s="5" t="n"/>
      <c r="E88" s="9">
        <f>IF(C88="","",IFERROR(VLOOKUP(C88,'Tableau de routage'!$A$5:$L$29,3,FALSE),""))</f>
        <v/>
      </c>
      <c r="F88" s="9">
        <f>IF(C88="","",IFERROR(VLOOKUP(C88,'Tableau de routage'!$A$5:$L$29,4,FALSE),""))</f>
        <v/>
      </c>
      <c r="G88" s="6" t="n"/>
      <c r="H88" s="11" t="n"/>
      <c r="I88" s="9">
        <f>IF(A88="","",IF(AND(WEEKDAY(A88,2)&lt;=5,COUNTIF('Horaires'!$A$9:$A$38,INT(A88))=0,MOD(A88,1)&gt;='Horaires'!$B$4,MOD(A88,1)&lt;'Horaires'!$B$5),"Oui","Non"))</f>
        <v/>
      </c>
      <c r="J88" s="12">
        <f>IF(OR(A88="",C88=""),"",IFERROR(IF(I88="Oui",A88+VLOOKUP(C88,'Tableau de routage'!$A$5:$L$29,6,FALSE)/1440,IF(AND(WEEKDAY(A88,2)&lt;=5,COUNTIF('Horaires'!$A$9:$A$38,INT(A88))=0,MOD(A88,1)&lt;'Horaires'!$B$4),INT(A88),WORKDAY(INT(A88),1,'Horaires'!$A$9:$A$38))+VLOOKUP(C88,'Tableau de routage'!$A$5:$L$29,7,FALSE)),""))</f>
        <v/>
      </c>
      <c r="K88" s="9">
        <f>IF(OR(A88="",H88=""),"",ROUND((H88-A88)*1440,0))</f>
        <v/>
      </c>
      <c r="L88" s="8">
        <f>IF(OR(A88="",J88=""),"",IF(H88="",IF(NOW()&gt;J88,"Sans réponse","En cours"),IF(ROUND((H88-J88)*1440,0)&lt;=0,"À temps","En retard")))</f>
        <v/>
      </c>
      <c r="M88" s="6" t="n"/>
      <c r="N88" s="5" t="n"/>
    </row>
    <row r="89">
      <c r="A89" s="11" t="n"/>
      <c r="B89" s="5" t="n"/>
      <c r="C89" s="5" t="n"/>
      <c r="D89" s="5" t="n"/>
      <c r="E89" s="9">
        <f>IF(C89="","",IFERROR(VLOOKUP(C89,'Tableau de routage'!$A$5:$L$29,3,FALSE),""))</f>
        <v/>
      </c>
      <c r="F89" s="9">
        <f>IF(C89="","",IFERROR(VLOOKUP(C89,'Tableau de routage'!$A$5:$L$29,4,FALSE),""))</f>
        <v/>
      </c>
      <c r="G89" s="6" t="n"/>
      <c r="H89" s="11" t="n"/>
      <c r="I89" s="9">
        <f>IF(A89="","",IF(AND(WEEKDAY(A89,2)&lt;=5,COUNTIF('Horaires'!$A$9:$A$38,INT(A89))=0,MOD(A89,1)&gt;='Horaires'!$B$4,MOD(A89,1)&lt;'Horaires'!$B$5),"Oui","Non"))</f>
        <v/>
      </c>
      <c r="J89" s="12">
        <f>IF(OR(A89="",C89=""),"",IFERROR(IF(I89="Oui",A89+VLOOKUP(C89,'Tableau de routage'!$A$5:$L$29,6,FALSE)/1440,IF(AND(WEEKDAY(A89,2)&lt;=5,COUNTIF('Horaires'!$A$9:$A$38,INT(A89))=0,MOD(A89,1)&lt;'Horaires'!$B$4),INT(A89),WORKDAY(INT(A89),1,'Horaires'!$A$9:$A$38))+VLOOKUP(C89,'Tableau de routage'!$A$5:$L$29,7,FALSE)),""))</f>
        <v/>
      </c>
      <c r="K89" s="9">
        <f>IF(OR(A89="",H89=""),"",ROUND((H89-A89)*1440,0))</f>
        <v/>
      </c>
      <c r="L89" s="8">
        <f>IF(OR(A89="",J89=""),"",IF(H89="",IF(NOW()&gt;J89,"Sans réponse","En cours"),IF(ROUND((H89-J89)*1440,0)&lt;=0,"À temps","En retard")))</f>
        <v/>
      </c>
      <c r="M89" s="6" t="n"/>
      <c r="N89" s="5" t="n"/>
    </row>
    <row r="90">
      <c r="A90" s="11" t="n"/>
      <c r="B90" s="5" t="n"/>
      <c r="C90" s="5" t="n"/>
      <c r="D90" s="5" t="n"/>
      <c r="E90" s="9">
        <f>IF(C90="","",IFERROR(VLOOKUP(C90,'Tableau de routage'!$A$5:$L$29,3,FALSE),""))</f>
        <v/>
      </c>
      <c r="F90" s="9">
        <f>IF(C90="","",IFERROR(VLOOKUP(C90,'Tableau de routage'!$A$5:$L$29,4,FALSE),""))</f>
        <v/>
      </c>
      <c r="G90" s="6" t="n"/>
      <c r="H90" s="11" t="n"/>
      <c r="I90" s="9">
        <f>IF(A90="","",IF(AND(WEEKDAY(A90,2)&lt;=5,COUNTIF('Horaires'!$A$9:$A$38,INT(A90))=0,MOD(A90,1)&gt;='Horaires'!$B$4,MOD(A90,1)&lt;'Horaires'!$B$5),"Oui","Non"))</f>
        <v/>
      </c>
      <c r="J90" s="12">
        <f>IF(OR(A90="",C90=""),"",IFERROR(IF(I90="Oui",A90+VLOOKUP(C90,'Tableau de routage'!$A$5:$L$29,6,FALSE)/1440,IF(AND(WEEKDAY(A90,2)&lt;=5,COUNTIF('Horaires'!$A$9:$A$38,INT(A90))=0,MOD(A90,1)&lt;'Horaires'!$B$4),INT(A90),WORKDAY(INT(A90),1,'Horaires'!$A$9:$A$38))+VLOOKUP(C90,'Tableau de routage'!$A$5:$L$29,7,FALSE)),""))</f>
        <v/>
      </c>
      <c r="K90" s="9">
        <f>IF(OR(A90="",H90=""),"",ROUND((H90-A90)*1440,0))</f>
        <v/>
      </c>
      <c r="L90" s="8">
        <f>IF(OR(A90="",J90=""),"",IF(H90="",IF(NOW()&gt;J90,"Sans réponse","En cours"),IF(ROUND((H90-J90)*1440,0)&lt;=0,"À temps","En retard")))</f>
        <v/>
      </c>
      <c r="M90" s="6" t="n"/>
      <c r="N90" s="5" t="n"/>
    </row>
    <row r="91">
      <c r="A91" s="11" t="n"/>
      <c r="B91" s="5" t="n"/>
      <c r="C91" s="5" t="n"/>
      <c r="D91" s="5" t="n"/>
      <c r="E91" s="9">
        <f>IF(C91="","",IFERROR(VLOOKUP(C91,'Tableau de routage'!$A$5:$L$29,3,FALSE),""))</f>
        <v/>
      </c>
      <c r="F91" s="9">
        <f>IF(C91="","",IFERROR(VLOOKUP(C91,'Tableau de routage'!$A$5:$L$29,4,FALSE),""))</f>
        <v/>
      </c>
      <c r="G91" s="6" t="n"/>
      <c r="H91" s="11" t="n"/>
      <c r="I91" s="9">
        <f>IF(A91="","",IF(AND(WEEKDAY(A91,2)&lt;=5,COUNTIF('Horaires'!$A$9:$A$38,INT(A91))=0,MOD(A91,1)&gt;='Horaires'!$B$4,MOD(A91,1)&lt;'Horaires'!$B$5),"Oui","Non"))</f>
        <v/>
      </c>
      <c r="J91" s="12">
        <f>IF(OR(A91="",C91=""),"",IFERROR(IF(I91="Oui",A91+VLOOKUP(C91,'Tableau de routage'!$A$5:$L$29,6,FALSE)/1440,IF(AND(WEEKDAY(A91,2)&lt;=5,COUNTIF('Horaires'!$A$9:$A$38,INT(A91))=0,MOD(A91,1)&lt;'Horaires'!$B$4),INT(A91),WORKDAY(INT(A91),1,'Horaires'!$A$9:$A$38))+VLOOKUP(C91,'Tableau de routage'!$A$5:$L$29,7,FALSE)),""))</f>
        <v/>
      </c>
      <c r="K91" s="9">
        <f>IF(OR(A91="",H91=""),"",ROUND((H91-A91)*1440,0))</f>
        <v/>
      </c>
      <c r="L91" s="8">
        <f>IF(OR(A91="",J91=""),"",IF(H91="",IF(NOW()&gt;J91,"Sans réponse","En cours"),IF(ROUND((H91-J91)*1440,0)&lt;=0,"À temps","En retard")))</f>
        <v/>
      </c>
      <c r="M91" s="6" t="n"/>
      <c r="N91" s="5" t="n"/>
    </row>
    <row r="92">
      <c r="A92" s="11" t="n"/>
      <c r="B92" s="5" t="n"/>
      <c r="C92" s="5" t="n"/>
      <c r="D92" s="5" t="n"/>
      <c r="E92" s="9">
        <f>IF(C92="","",IFERROR(VLOOKUP(C92,'Tableau de routage'!$A$5:$L$29,3,FALSE),""))</f>
        <v/>
      </c>
      <c r="F92" s="9">
        <f>IF(C92="","",IFERROR(VLOOKUP(C92,'Tableau de routage'!$A$5:$L$29,4,FALSE),""))</f>
        <v/>
      </c>
      <c r="G92" s="6" t="n"/>
      <c r="H92" s="11" t="n"/>
      <c r="I92" s="9">
        <f>IF(A92="","",IF(AND(WEEKDAY(A92,2)&lt;=5,COUNTIF('Horaires'!$A$9:$A$38,INT(A92))=0,MOD(A92,1)&gt;='Horaires'!$B$4,MOD(A92,1)&lt;'Horaires'!$B$5),"Oui","Non"))</f>
        <v/>
      </c>
      <c r="J92" s="12">
        <f>IF(OR(A92="",C92=""),"",IFERROR(IF(I92="Oui",A92+VLOOKUP(C92,'Tableau de routage'!$A$5:$L$29,6,FALSE)/1440,IF(AND(WEEKDAY(A92,2)&lt;=5,COUNTIF('Horaires'!$A$9:$A$38,INT(A92))=0,MOD(A92,1)&lt;'Horaires'!$B$4),INT(A92),WORKDAY(INT(A92),1,'Horaires'!$A$9:$A$38))+VLOOKUP(C92,'Tableau de routage'!$A$5:$L$29,7,FALSE)),""))</f>
        <v/>
      </c>
      <c r="K92" s="9">
        <f>IF(OR(A92="",H92=""),"",ROUND((H92-A92)*1440,0))</f>
        <v/>
      </c>
      <c r="L92" s="8">
        <f>IF(OR(A92="",J92=""),"",IF(H92="",IF(NOW()&gt;J92,"Sans réponse","En cours"),IF(ROUND((H92-J92)*1440,0)&lt;=0,"À temps","En retard")))</f>
        <v/>
      </c>
      <c r="M92" s="6" t="n"/>
      <c r="N92" s="5" t="n"/>
    </row>
    <row r="93">
      <c r="A93" s="11" t="n"/>
      <c r="B93" s="5" t="n"/>
      <c r="C93" s="5" t="n"/>
      <c r="D93" s="5" t="n"/>
      <c r="E93" s="9">
        <f>IF(C93="","",IFERROR(VLOOKUP(C93,'Tableau de routage'!$A$5:$L$29,3,FALSE),""))</f>
        <v/>
      </c>
      <c r="F93" s="9">
        <f>IF(C93="","",IFERROR(VLOOKUP(C93,'Tableau de routage'!$A$5:$L$29,4,FALSE),""))</f>
        <v/>
      </c>
      <c r="G93" s="6" t="n"/>
      <c r="H93" s="11" t="n"/>
      <c r="I93" s="9">
        <f>IF(A93="","",IF(AND(WEEKDAY(A93,2)&lt;=5,COUNTIF('Horaires'!$A$9:$A$38,INT(A93))=0,MOD(A93,1)&gt;='Horaires'!$B$4,MOD(A93,1)&lt;'Horaires'!$B$5),"Oui","Non"))</f>
        <v/>
      </c>
      <c r="J93" s="12">
        <f>IF(OR(A93="",C93=""),"",IFERROR(IF(I93="Oui",A93+VLOOKUP(C93,'Tableau de routage'!$A$5:$L$29,6,FALSE)/1440,IF(AND(WEEKDAY(A93,2)&lt;=5,COUNTIF('Horaires'!$A$9:$A$38,INT(A93))=0,MOD(A93,1)&lt;'Horaires'!$B$4),INT(A93),WORKDAY(INT(A93),1,'Horaires'!$A$9:$A$38))+VLOOKUP(C93,'Tableau de routage'!$A$5:$L$29,7,FALSE)),""))</f>
        <v/>
      </c>
      <c r="K93" s="9">
        <f>IF(OR(A93="",H93=""),"",ROUND((H93-A93)*1440,0))</f>
        <v/>
      </c>
      <c r="L93" s="8">
        <f>IF(OR(A93="",J93=""),"",IF(H93="",IF(NOW()&gt;J93,"Sans réponse","En cours"),IF(ROUND((H93-J93)*1440,0)&lt;=0,"À temps","En retard")))</f>
        <v/>
      </c>
      <c r="M93" s="6" t="n"/>
      <c r="N93" s="5" t="n"/>
    </row>
    <row r="94">
      <c r="A94" s="11" t="n"/>
      <c r="B94" s="5" t="n"/>
      <c r="C94" s="5" t="n"/>
      <c r="D94" s="5" t="n"/>
      <c r="E94" s="9">
        <f>IF(C94="","",IFERROR(VLOOKUP(C94,'Tableau de routage'!$A$5:$L$29,3,FALSE),""))</f>
        <v/>
      </c>
      <c r="F94" s="9">
        <f>IF(C94="","",IFERROR(VLOOKUP(C94,'Tableau de routage'!$A$5:$L$29,4,FALSE),""))</f>
        <v/>
      </c>
      <c r="G94" s="6" t="n"/>
      <c r="H94" s="11" t="n"/>
      <c r="I94" s="9">
        <f>IF(A94="","",IF(AND(WEEKDAY(A94,2)&lt;=5,COUNTIF('Horaires'!$A$9:$A$38,INT(A94))=0,MOD(A94,1)&gt;='Horaires'!$B$4,MOD(A94,1)&lt;'Horaires'!$B$5),"Oui","Non"))</f>
        <v/>
      </c>
      <c r="J94" s="12">
        <f>IF(OR(A94="",C94=""),"",IFERROR(IF(I94="Oui",A94+VLOOKUP(C94,'Tableau de routage'!$A$5:$L$29,6,FALSE)/1440,IF(AND(WEEKDAY(A94,2)&lt;=5,COUNTIF('Horaires'!$A$9:$A$38,INT(A94))=0,MOD(A94,1)&lt;'Horaires'!$B$4),INT(A94),WORKDAY(INT(A94),1,'Horaires'!$A$9:$A$38))+VLOOKUP(C94,'Tableau de routage'!$A$5:$L$29,7,FALSE)),""))</f>
        <v/>
      </c>
      <c r="K94" s="9">
        <f>IF(OR(A94="",H94=""),"",ROUND((H94-A94)*1440,0))</f>
        <v/>
      </c>
      <c r="L94" s="8">
        <f>IF(OR(A94="",J94=""),"",IF(H94="",IF(NOW()&gt;J94,"Sans réponse","En cours"),IF(ROUND((H94-J94)*1440,0)&lt;=0,"À temps","En retard")))</f>
        <v/>
      </c>
      <c r="M94" s="6" t="n"/>
      <c r="N94" s="5" t="n"/>
    </row>
    <row r="95">
      <c r="A95" s="11" t="n"/>
      <c r="B95" s="5" t="n"/>
      <c r="C95" s="5" t="n"/>
      <c r="D95" s="5" t="n"/>
      <c r="E95" s="9">
        <f>IF(C95="","",IFERROR(VLOOKUP(C95,'Tableau de routage'!$A$5:$L$29,3,FALSE),""))</f>
        <v/>
      </c>
      <c r="F95" s="9">
        <f>IF(C95="","",IFERROR(VLOOKUP(C95,'Tableau de routage'!$A$5:$L$29,4,FALSE),""))</f>
        <v/>
      </c>
      <c r="G95" s="6" t="n"/>
      <c r="H95" s="11" t="n"/>
      <c r="I95" s="9">
        <f>IF(A95="","",IF(AND(WEEKDAY(A95,2)&lt;=5,COUNTIF('Horaires'!$A$9:$A$38,INT(A95))=0,MOD(A95,1)&gt;='Horaires'!$B$4,MOD(A95,1)&lt;'Horaires'!$B$5),"Oui","Non"))</f>
        <v/>
      </c>
      <c r="J95" s="12">
        <f>IF(OR(A95="",C95=""),"",IFERROR(IF(I95="Oui",A95+VLOOKUP(C95,'Tableau de routage'!$A$5:$L$29,6,FALSE)/1440,IF(AND(WEEKDAY(A95,2)&lt;=5,COUNTIF('Horaires'!$A$9:$A$38,INT(A95))=0,MOD(A95,1)&lt;'Horaires'!$B$4),INT(A95),WORKDAY(INT(A95),1,'Horaires'!$A$9:$A$38))+VLOOKUP(C95,'Tableau de routage'!$A$5:$L$29,7,FALSE)),""))</f>
        <v/>
      </c>
      <c r="K95" s="9">
        <f>IF(OR(A95="",H95=""),"",ROUND((H95-A95)*1440,0))</f>
        <v/>
      </c>
      <c r="L95" s="8">
        <f>IF(OR(A95="",J95=""),"",IF(H95="",IF(NOW()&gt;J95,"Sans réponse","En cours"),IF(ROUND((H95-J95)*1440,0)&lt;=0,"À temps","En retard")))</f>
        <v/>
      </c>
      <c r="M95" s="6" t="n"/>
      <c r="N95" s="5" t="n"/>
    </row>
    <row r="96">
      <c r="A96" s="11" t="n"/>
      <c r="B96" s="5" t="n"/>
      <c r="C96" s="5" t="n"/>
      <c r="D96" s="5" t="n"/>
      <c r="E96" s="9">
        <f>IF(C96="","",IFERROR(VLOOKUP(C96,'Tableau de routage'!$A$5:$L$29,3,FALSE),""))</f>
        <v/>
      </c>
      <c r="F96" s="9">
        <f>IF(C96="","",IFERROR(VLOOKUP(C96,'Tableau de routage'!$A$5:$L$29,4,FALSE),""))</f>
        <v/>
      </c>
      <c r="G96" s="6" t="n"/>
      <c r="H96" s="11" t="n"/>
      <c r="I96" s="9">
        <f>IF(A96="","",IF(AND(WEEKDAY(A96,2)&lt;=5,COUNTIF('Horaires'!$A$9:$A$38,INT(A96))=0,MOD(A96,1)&gt;='Horaires'!$B$4,MOD(A96,1)&lt;'Horaires'!$B$5),"Oui","Non"))</f>
        <v/>
      </c>
      <c r="J96" s="12">
        <f>IF(OR(A96="",C96=""),"",IFERROR(IF(I96="Oui",A96+VLOOKUP(C96,'Tableau de routage'!$A$5:$L$29,6,FALSE)/1440,IF(AND(WEEKDAY(A96,2)&lt;=5,COUNTIF('Horaires'!$A$9:$A$38,INT(A96))=0,MOD(A96,1)&lt;'Horaires'!$B$4),INT(A96),WORKDAY(INT(A96),1,'Horaires'!$A$9:$A$38))+VLOOKUP(C96,'Tableau de routage'!$A$5:$L$29,7,FALSE)),""))</f>
        <v/>
      </c>
      <c r="K96" s="9">
        <f>IF(OR(A96="",H96=""),"",ROUND((H96-A96)*1440,0))</f>
        <v/>
      </c>
      <c r="L96" s="8">
        <f>IF(OR(A96="",J96=""),"",IF(H96="",IF(NOW()&gt;J96,"Sans réponse","En cours"),IF(ROUND((H96-J96)*1440,0)&lt;=0,"À temps","En retard")))</f>
        <v/>
      </c>
      <c r="M96" s="6" t="n"/>
      <c r="N96" s="5" t="n"/>
    </row>
    <row r="97">
      <c r="A97" s="11" t="n"/>
      <c r="B97" s="5" t="n"/>
      <c r="C97" s="5" t="n"/>
      <c r="D97" s="5" t="n"/>
      <c r="E97" s="9">
        <f>IF(C97="","",IFERROR(VLOOKUP(C97,'Tableau de routage'!$A$5:$L$29,3,FALSE),""))</f>
        <v/>
      </c>
      <c r="F97" s="9">
        <f>IF(C97="","",IFERROR(VLOOKUP(C97,'Tableau de routage'!$A$5:$L$29,4,FALSE),""))</f>
        <v/>
      </c>
      <c r="G97" s="6" t="n"/>
      <c r="H97" s="11" t="n"/>
      <c r="I97" s="9">
        <f>IF(A97="","",IF(AND(WEEKDAY(A97,2)&lt;=5,COUNTIF('Horaires'!$A$9:$A$38,INT(A97))=0,MOD(A97,1)&gt;='Horaires'!$B$4,MOD(A97,1)&lt;'Horaires'!$B$5),"Oui","Non"))</f>
        <v/>
      </c>
      <c r="J97" s="12">
        <f>IF(OR(A97="",C97=""),"",IFERROR(IF(I97="Oui",A97+VLOOKUP(C97,'Tableau de routage'!$A$5:$L$29,6,FALSE)/1440,IF(AND(WEEKDAY(A97,2)&lt;=5,COUNTIF('Horaires'!$A$9:$A$38,INT(A97))=0,MOD(A97,1)&lt;'Horaires'!$B$4),INT(A97),WORKDAY(INT(A97),1,'Horaires'!$A$9:$A$38))+VLOOKUP(C97,'Tableau de routage'!$A$5:$L$29,7,FALSE)),""))</f>
        <v/>
      </c>
      <c r="K97" s="9">
        <f>IF(OR(A97="",H97=""),"",ROUND((H97-A97)*1440,0))</f>
        <v/>
      </c>
      <c r="L97" s="8">
        <f>IF(OR(A97="",J97=""),"",IF(H97="",IF(NOW()&gt;J97,"Sans réponse","En cours"),IF(ROUND((H97-J97)*1440,0)&lt;=0,"À temps","En retard")))</f>
        <v/>
      </c>
      <c r="M97" s="6" t="n"/>
      <c r="N97" s="5" t="n"/>
    </row>
    <row r="98">
      <c r="A98" s="11" t="n"/>
      <c r="B98" s="5" t="n"/>
      <c r="C98" s="5" t="n"/>
      <c r="D98" s="5" t="n"/>
      <c r="E98" s="9">
        <f>IF(C98="","",IFERROR(VLOOKUP(C98,'Tableau de routage'!$A$5:$L$29,3,FALSE),""))</f>
        <v/>
      </c>
      <c r="F98" s="9">
        <f>IF(C98="","",IFERROR(VLOOKUP(C98,'Tableau de routage'!$A$5:$L$29,4,FALSE),""))</f>
        <v/>
      </c>
      <c r="G98" s="6" t="n"/>
      <c r="H98" s="11" t="n"/>
      <c r="I98" s="9">
        <f>IF(A98="","",IF(AND(WEEKDAY(A98,2)&lt;=5,COUNTIF('Horaires'!$A$9:$A$38,INT(A98))=0,MOD(A98,1)&gt;='Horaires'!$B$4,MOD(A98,1)&lt;'Horaires'!$B$5),"Oui","Non"))</f>
        <v/>
      </c>
      <c r="J98" s="12">
        <f>IF(OR(A98="",C98=""),"",IFERROR(IF(I98="Oui",A98+VLOOKUP(C98,'Tableau de routage'!$A$5:$L$29,6,FALSE)/1440,IF(AND(WEEKDAY(A98,2)&lt;=5,COUNTIF('Horaires'!$A$9:$A$38,INT(A98))=0,MOD(A98,1)&lt;'Horaires'!$B$4),INT(A98),WORKDAY(INT(A98),1,'Horaires'!$A$9:$A$38))+VLOOKUP(C98,'Tableau de routage'!$A$5:$L$29,7,FALSE)),""))</f>
        <v/>
      </c>
      <c r="K98" s="9">
        <f>IF(OR(A98="",H98=""),"",ROUND((H98-A98)*1440,0))</f>
        <v/>
      </c>
      <c r="L98" s="8">
        <f>IF(OR(A98="",J98=""),"",IF(H98="",IF(NOW()&gt;J98,"Sans réponse","En cours"),IF(ROUND((H98-J98)*1440,0)&lt;=0,"À temps","En retard")))</f>
        <v/>
      </c>
      <c r="M98" s="6" t="n"/>
      <c r="N98" s="5" t="n"/>
    </row>
    <row r="99">
      <c r="A99" s="11" t="n"/>
      <c r="B99" s="5" t="n"/>
      <c r="C99" s="5" t="n"/>
      <c r="D99" s="5" t="n"/>
      <c r="E99" s="9">
        <f>IF(C99="","",IFERROR(VLOOKUP(C99,'Tableau de routage'!$A$5:$L$29,3,FALSE),""))</f>
        <v/>
      </c>
      <c r="F99" s="9">
        <f>IF(C99="","",IFERROR(VLOOKUP(C99,'Tableau de routage'!$A$5:$L$29,4,FALSE),""))</f>
        <v/>
      </c>
      <c r="G99" s="6" t="n"/>
      <c r="H99" s="11" t="n"/>
      <c r="I99" s="9">
        <f>IF(A99="","",IF(AND(WEEKDAY(A99,2)&lt;=5,COUNTIF('Horaires'!$A$9:$A$38,INT(A99))=0,MOD(A99,1)&gt;='Horaires'!$B$4,MOD(A99,1)&lt;'Horaires'!$B$5),"Oui","Non"))</f>
        <v/>
      </c>
      <c r="J99" s="12">
        <f>IF(OR(A99="",C99=""),"",IFERROR(IF(I99="Oui",A99+VLOOKUP(C99,'Tableau de routage'!$A$5:$L$29,6,FALSE)/1440,IF(AND(WEEKDAY(A99,2)&lt;=5,COUNTIF('Horaires'!$A$9:$A$38,INT(A99))=0,MOD(A99,1)&lt;'Horaires'!$B$4),INT(A99),WORKDAY(INT(A99),1,'Horaires'!$A$9:$A$38))+VLOOKUP(C99,'Tableau de routage'!$A$5:$L$29,7,FALSE)),""))</f>
        <v/>
      </c>
      <c r="K99" s="9">
        <f>IF(OR(A99="",H99=""),"",ROUND((H99-A99)*1440,0))</f>
        <v/>
      </c>
      <c r="L99" s="8">
        <f>IF(OR(A99="",J99=""),"",IF(H99="",IF(NOW()&gt;J99,"Sans réponse","En cours"),IF(ROUND((H99-J99)*1440,0)&lt;=0,"À temps","En retard")))</f>
        <v/>
      </c>
      <c r="M99" s="6" t="n"/>
      <c r="N99" s="5" t="n"/>
    </row>
    <row r="100">
      <c r="A100" s="11" t="n"/>
      <c r="B100" s="5" t="n"/>
      <c r="C100" s="5" t="n"/>
      <c r="D100" s="5" t="n"/>
      <c r="E100" s="9">
        <f>IF(C100="","",IFERROR(VLOOKUP(C100,'Tableau de routage'!$A$5:$L$29,3,FALSE),""))</f>
        <v/>
      </c>
      <c r="F100" s="9">
        <f>IF(C100="","",IFERROR(VLOOKUP(C100,'Tableau de routage'!$A$5:$L$29,4,FALSE),""))</f>
        <v/>
      </c>
      <c r="G100" s="6" t="n"/>
      <c r="H100" s="11" t="n"/>
      <c r="I100" s="9">
        <f>IF(A100="","",IF(AND(WEEKDAY(A100,2)&lt;=5,COUNTIF('Horaires'!$A$9:$A$38,INT(A100))=0,MOD(A100,1)&gt;='Horaires'!$B$4,MOD(A100,1)&lt;'Horaires'!$B$5),"Oui","Non"))</f>
        <v/>
      </c>
      <c r="J100" s="12">
        <f>IF(OR(A100="",C100=""),"",IFERROR(IF(I100="Oui",A100+VLOOKUP(C100,'Tableau de routage'!$A$5:$L$29,6,FALSE)/1440,IF(AND(WEEKDAY(A100,2)&lt;=5,COUNTIF('Horaires'!$A$9:$A$38,INT(A100))=0,MOD(A100,1)&lt;'Horaires'!$B$4),INT(A100),WORKDAY(INT(A100),1,'Horaires'!$A$9:$A$38))+VLOOKUP(C100,'Tableau de routage'!$A$5:$L$29,7,FALSE)),""))</f>
        <v/>
      </c>
      <c r="K100" s="9">
        <f>IF(OR(A100="",H100=""),"",ROUND((H100-A100)*1440,0))</f>
        <v/>
      </c>
      <c r="L100" s="8">
        <f>IF(OR(A100="",J100=""),"",IF(H100="",IF(NOW()&gt;J100,"Sans réponse","En cours"),IF(ROUND((H100-J100)*1440,0)&lt;=0,"À temps","En retard")))</f>
        <v/>
      </c>
      <c r="M100" s="6" t="n"/>
      <c r="N100" s="5" t="n"/>
    </row>
    <row r="101">
      <c r="A101" s="11" t="n"/>
      <c r="B101" s="5" t="n"/>
      <c r="C101" s="5" t="n"/>
      <c r="D101" s="5" t="n"/>
      <c r="E101" s="9">
        <f>IF(C101="","",IFERROR(VLOOKUP(C101,'Tableau de routage'!$A$5:$L$29,3,FALSE),""))</f>
        <v/>
      </c>
      <c r="F101" s="9">
        <f>IF(C101="","",IFERROR(VLOOKUP(C101,'Tableau de routage'!$A$5:$L$29,4,FALSE),""))</f>
        <v/>
      </c>
      <c r="G101" s="6" t="n"/>
      <c r="H101" s="11" t="n"/>
      <c r="I101" s="9">
        <f>IF(A101="","",IF(AND(WEEKDAY(A101,2)&lt;=5,COUNTIF('Horaires'!$A$9:$A$38,INT(A101))=0,MOD(A101,1)&gt;='Horaires'!$B$4,MOD(A101,1)&lt;'Horaires'!$B$5),"Oui","Non"))</f>
        <v/>
      </c>
      <c r="J101" s="12">
        <f>IF(OR(A101="",C101=""),"",IFERROR(IF(I101="Oui",A101+VLOOKUP(C101,'Tableau de routage'!$A$5:$L$29,6,FALSE)/1440,IF(AND(WEEKDAY(A101,2)&lt;=5,COUNTIF('Horaires'!$A$9:$A$38,INT(A101))=0,MOD(A101,1)&lt;'Horaires'!$B$4),INT(A101),WORKDAY(INT(A101),1,'Horaires'!$A$9:$A$38))+VLOOKUP(C101,'Tableau de routage'!$A$5:$L$29,7,FALSE)),""))</f>
        <v/>
      </c>
      <c r="K101" s="9">
        <f>IF(OR(A101="",H101=""),"",ROUND((H101-A101)*1440,0))</f>
        <v/>
      </c>
      <c r="L101" s="8">
        <f>IF(OR(A101="",J101=""),"",IF(H101="",IF(NOW()&gt;J101,"Sans réponse","En cours"),IF(ROUND((H101-J101)*1440,0)&lt;=0,"À temps","En retard")))</f>
        <v/>
      </c>
      <c r="M101" s="6" t="n"/>
      <c r="N101" s="5" t="n"/>
    </row>
    <row r="102">
      <c r="A102" s="11" t="n"/>
      <c r="B102" s="5" t="n"/>
      <c r="C102" s="5" t="n"/>
      <c r="D102" s="5" t="n"/>
      <c r="E102" s="9">
        <f>IF(C102="","",IFERROR(VLOOKUP(C102,'Tableau de routage'!$A$5:$L$29,3,FALSE),""))</f>
        <v/>
      </c>
      <c r="F102" s="9">
        <f>IF(C102="","",IFERROR(VLOOKUP(C102,'Tableau de routage'!$A$5:$L$29,4,FALSE),""))</f>
        <v/>
      </c>
      <c r="G102" s="6" t="n"/>
      <c r="H102" s="11" t="n"/>
      <c r="I102" s="9">
        <f>IF(A102="","",IF(AND(WEEKDAY(A102,2)&lt;=5,COUNTIF('Horaires'!$A$9:$A$38,INT(A102))=0,MOD(A102,1)&gt;='Horaires'!$B$4,MOD(A102,1)&lt;'Horaires'!$B$5),"Oui","Non"))</f>
        <v/>
      </c>
      <c r="J102" s="12">
        <f>IF(OR(A102="",C102=""),"",IFERROR(IF(I102="Oui",A102+VLOOKUP(C102,'Tableau de routage'!$A$5:$L$29,6,FALSE)/1440,IF(AND(WEEKDAY(A102,2)&lt;=5,COUNTIF('Horaires'!$A$9:$A$38,INT(A102))=0,MOD(A102,1)&lt;'Horaires'!$B$4),INT(A102),WORKDAY(INT(A102),1,'Horaires'!$A$9:$A$38))+VLOOKUP(C102,'Tableau de routage'!$A$5:$L$29,7,FALSE)),""))</f>
        <v/>
      </c>
      <c r="K102" s="9">
        <f>IF(OR(A102="",H102=""),"",ROUND((H102-A102)*1440,0))</f>
        <v/>
      </c>
      <c r="L102" s="8">
        <f>IF(OR(A102="",J102=""),"",IF(H102="",IF(NOW()&gt;J102,"Sans réponse","En cours"),IF(ROUND((H102-J102)*1440,0)&lt;=0,"À temps","En retard")))</f>
        <v/>
      </c>
      <c r="M102" s="6" t="n"/>
      <c r="N102" s="5" t="n"/>
    </row>
    <row r="103">
      <c r="A103" s="11" t="n"/>
      <c r="B103" s="5" t="n"/>
      <c r="C103" s="5" t="n"/>
      <c r="D103" s="5" t="n"/>
      <c r="E103" s="9">
        <f>IF(C103="","",IFERROR(VLOOKUP(C103,'Tableau de routage'!$A$5:$L$29,3,FALSE),""))</f>
        <v/>
      </c>
      <c r="F103" s="9">
        <f>IF(C103="","",IFERROR(VLOOKUP(C103,'Tableau de routage'!$A$5:$L$29,4,FALSE),""))</f>
        <v/>
      </c>
      <c r="G103" s="6" t="n"/>
      <c r="H103" s="11" t="n"/>
      <c r="I103" s="9">
        <f>IF(A103="","",IF(AND(WEEKDAY(A103,2)&lt;=5,COUNTIF('Horaires'!$A$9:$A$38,INT(A103))=0,MOD(A103,1)&gt;='Horaires'!$B$4,MOD(A103,1)&lt;'Horaires'!$B$5),"Oui","Non"))</f>
        <v/>
      </c>
      <c r="J103" s="12">
        <f>IF(OR(A103="",C103=""),"",IFERROR(IF(I103="Oui",A103+VLOOKUP(C103,'Tableau de routage'!$A$5:$L$29,6,FALSE)/1440,IF(AND(WEEKDAY(A103,2)&lt;=5,COUNTIF('Horaires'!$A$9:$A$38,INT(A103))=0,MOD(A103,1)&lt;'Horaires'!$B$4),INT(A103),WORKDAY(INT(A103),1,'Horaires'!$A$9:$A$38))+VLOOKUP(C103,'Tableau de routage'!$A$5:$L$29,7,FALSE)),""))</f>
        <v/>
      </c>
      <c r="K103" s="9">
        <f>IF(OR(A103="",H103=""),"",ROUND((H103-A103)*1440,0))</f>
        <v/>
      </c>
      <c r="L103" s="8">
        <f>IF(OR(A103="",J103=""),"",IF(H103="",IF(NOW()&gt;J103,"Sans réponse","En cours"),IF(ROUND((H103-J103)*1440,0)&lt;=0,"À temps","En retard")))</f>
        <v/>
      </c>
      <c r="M103" s="6" t="n"/>
      <c r="N103" s="5" t="n"/>
    </row>
    <row r="104">
      <c r="A104" s="11" t="n"/>
      <c r="B104" s="5" t="n"/>
      <c r="C104" s="5" t="n"/>
      <c r="D104" s="5" t="n"/>
      <c r="E104" s="9">
        <f>IF(C104="","",IFERROR(VLOOKUP(C104,'Tableau de routage'!$A$5:$L$29,3,FALSE),""))</f>
        <v/>
      </c>
      <c r="F104" s="9">
        <f>IF(C104="","",IFERROR(VLOOKUP(C104,'Tableau de routage'!$A$5:$L$29,4,FALSE),""))</f>
        <v/>
      </c>
      <c r="G104" s="6" t="n"/>
      <c r="H104" s="11" t="n"/>
      <c r="I104" s="9">
        <f>IF(A104="","",IF(AND(WEEKDAY(A104,2)&lt;=5,COUNTIF('Horaires'!$A$9:$A$38,INT(A104))=0,MOD(A104,1)&gt;='Horaires'!$B$4,MOD(A104,1)&lt;'Horaires'!$B$5),"Oui","Non"))</f>
        <v/>
      </c>
      <c r="J104" s="12">
        <f>IF(OR(A104="",C104=""),"",IFERROR(IF(I104="Oui",A104+VLOOKUP(C104,'Tableau de routage'!$A$5:$L$29,6,FALSE)/1440,IF(AND(WEEKDAY(A104,2)&lt;=5,COUNTIF('Horaires'!$A$9:$A$38,INT(A104))=0,MOD(A104,1)&lt;'Horaires'!$B$4),INT(A104),WORKDAY(INT(A104),1,'Horaires'!$A$9:$A$38))+VLOOKUP(C104,'Tableau de routage'!$A$5:$L$29,7,FALSE)),""))</f>
        <v/>
      </c>
      <c r="K104" s="9">
        <f>IF(OR(A104="",H104=""),"",ROUND((H104-A104)*1440,0))</f>
        <v/>
      </c>
      <c r="L104" s="8">
        <f>IF(OR(A104="",J104=""),"",IF(H104="",IF(NOW()&gt;J104,"Sans réponse","En cours"),IF(ROUND((H104-J104)*1440,0)&lt;=0,"À temps","En retard")))</f>
        <v/>
      </c>
      <c r="M104" s="6" t="n"/>
      <c r="N104" s="5" t="n"/>
    </row>
    <row r="105">
      <c r="A105" s="11" t="n"/>
      <c r="B105" s="5" t="n"/>
      <c r="C105" s="5" t="n"/>
      <c r="D105" s="5" t="n"/>
      <c r="E105" s="9">
        <f>IF(C105="","",IFERROR(VLOOKUP(C105,'Tableau de routage'!$A$5:$L$29,3,FALSE),""))</f>
        <v/>
      </c>
      <c r="F105" s="9">
        <f>IF(C105="","",IFERROR(VLOOKUP(C105,'Tableau de routage'!$A$5:$L$29,4,FALSE),""))</f>
        <v/>
      </c>
      <c r="G105" s="6" t="n"/>
      <c r="H105" s="11" t="n"/>
      <c r="I105" s="9">
        <f>IF(A105="","",IF(AND(WEEKDAY(A105,2)&lt;=5,COUNTIF('Horaires'!$A$9:$A$38,INT(A105))=0,MOD(A105,1)&gt;='Horaires'!$B$4,MOD(A105,1)&lt;'Horaires'!$B$5),"Oui","Non"))</f>
        <v/>
      </c>
      <c r="J105" s="12">
        <f>IF(OR(A105="",C105=""),"",IFERROR(IF(I105="Oui",A105+VLOOKUP(C105,'Tableau de routage'!$A$5:$L$29,6,FALSE)/1440,IF(AND(WEEKDAY(A105,2)&lt;=5,COUNTIF('Horaires'!$A$9:$A$38,INT(A105))=0,MOD(A105,1)&lt;'Horaires'!$B$4),INT(A105),WORKDAY(INT(A105),1,'Horaires'!$A$9:$A$38))+VLOOKUP(C105,'Tableau de routage'!$A$5:$L$29,7,FALSE)),""))</f>
        <v/>
      </c>
      <c r="K105" s="9">
        <f>IF(OR(A105="",H105=""),"",ROUND((H105-A105)*1440,0))</f>
        <v/>
      </c>
      <c r="L105" s="8">
        <f>IF(OR(A105="",J105=""),"",IF(H105="",IF(NOW()&gt;J105,"Sans réponse","En cours"),IF(ROUND((H105-J105)*1440,0)&lt;=0,"À temps","En retard")))</f>
        <v/>
      </c>
      <c r="M105" s="6" t="n"/>
      <c r="N105" s="5" t="n"/>
    </row>
    <row r="106">
      <c r="A106" s="11" t="n"/>
      <c r="B106" s="5" t="n"/>
      <c r="C106" s="5" t="n"/>
      <c r="D106" s="5" t="n"/>
      <c r="E106" s="9">
        <f>IF(C106="","",IFERROR(VLOOKUP(C106,'Tableau de routage'!$A$5:$L$29,3,FALSE),""))</f>
        <v/>
      </c>
      <c r="F106" s="9">
        <f>IF(C106="","",IFERROR(VLOOKUP(C106,'Tableau de routage'!$A$5:$L$29,4,FALSE),""))</f>
        <v/>
      </c>
      <c r="G106" s="6" t="n"/>
      <c r="H106" s="11" t="n"/>
      <c r="I106" s="9">
        <f>IF(A106="","",IF(AND(WEEKDAY(A106,2)&lt;=5,COUNTIF('Horaires'!$A$9:$A$38,INT(A106))=0,MOD(A106,1)&gt;='Horaires'!$B$4,MOD(A106,1)&lt;'Horaires'!$B$5),"Oui","Non"))</f>
        <v/>
      </c>
      <c r="J106" s="12">
        <f>IF(OR(A106="",C106=""),"",IFERROR(IF(I106="Oui",A106+VLOOKUP(C106,'Tableau de routage'!$A$5:$L$29,6,FALSE)/1440,IF(AND(WEEKDAY(A106,2)&lt;=5,COUNTIF('Horaires'!$A$9:$A$38,INT(A106))=0,MOD(A106,1)&lt;'Horaires'!$B$4),INT(A106),WORKDAY(INT(A106),1,'Horaires'!$A$9:$A$38))+VLOOKUP(C106,'Tableau de routage'!$A$5:$L$29,7,FALSE)),""))</f>
        <v/>
      </c>
      <c r="K106" s="9">
        <f>IF(OR(A106="",H106=""),"",ROUND((H106-A106)*1440,0))</f>
        <v/>
      </c>
      <c r="L106" s="8">
        <f>IF(OR(A106="",J106=""),"",IF(H106="",IF(NOW()&gt;J106,"Sans réponse","En cours"),IF(ROUND((H106-J106)*1440,0)&lt;=0,"À temps","En retard")))</f>
        <v/>
      </c>
      <c r="M106" s="6" t="n"/>
      <c r="N106" s="5" t="n"/>
    </row>
    <row r="107">
      <c r="A107" s="11" t="n"/>
      <c r="B107" s="5" t="n"/>
      <c r="C107" s="5" t="n"/>
      <c r="D107" s="5" t="n"/>
      <c r="E107" s="9">
        <f>IF(C107="","",IFERROR(VLOOKUP(C107,'Tableau de routage'!$A$5:$L$29,3,FALSE),""))</f>
        <v/>
      </c>
      <c r="F107" s="9">
        <f>IF(C107="","",IFERROR(VLOOKUP(C107,'Tableau de routage'!$A$5:$L$29,4,FALSE),""))</f>
        <v/>
      </c>
      <c r="G107" s="6" t="n"/>
      <c r="H107" s="11" t="n"/>
      <c r="I107" s="9">
        <f>IF(A107="","",IF(AND(WEEKDAY(A107,2)&lt;=5,COUNTIF('Horaires'!$A$9:$A$38,INT(A107))=0,MOD(A107,1)&gt;='Horaires'!$B$4,MOD(A107,1)&lt;'Horaires'!$B$5),"Oui","Non"))</f>
        <v/>
      </c>
      <c r="J107" s="12">
        <f>IF(OR(A107="",C107=""),"",IFERROR(IF(I107="Oui",A107+VLOOKUP(C107,'Tableau de routage'!$A$5:$L$29,6,FALSE)/1440,IF(AND(WEEKDAY(A107,2)&lt;=5,COUNTIF('Horaires'!$A$9:$A$38,INT(A107))=0,MOD(A107,1)&lt;'Horaires'!$B$4),INT(A107),WORKDAY(INT(A107),1,'Horaires'!$A$9:$A$38))+VLOOKUP(C107,'Tableau de routage'!$A$5:$L$29,7,FALSE)),""))</f>
        <v/>
      </c>
      <c r="K107" s="9">
        <f>IF(OR(A107="",H107=""),"",ROUND((H107-A107)*1440,0))</f>
        <v/>
      </c>
      <c r="L107" s="8">
        <f>IF(OR(A107="",J107=""),"",IF(H107="",IF(NOW()&gt;J107,"Sans réponse","En cours"),IF(ROUND((H107-J107)*1440,0)&lt;=0,"À temps","En retard")))</f>
        <v/>
      </c>
      <c r="M107" s="6" t="n"/>
      <c r="N107" s="5" t="n"/>
    </row>
    <row r="108">
      <c r="A108" s="11" t="n"/>
      <c r="B108" s="5" t="n"/>
      <c r="C108" s="5" t="n"/>
      <c r="D108" s="5" t="n"/>
      <c r="E108" s="9">
        <f>IF(C108="","",IFERROR(VLOOKUP(C108,'Tableau de routage'!$A$5:$L$29,3,FALSE),""))</f>
        <v/>
      </c>
      <c r="F108" s="9">
        <f>IF(C108="","",IFERROR(VLOOKUP(C108,'Tableau de routage'!$A$5:$L$29,4,FALSE),""))</f>
        <v/>
      </c>
      <c r="G108" s="6" t="n"/>
      <c r="H108" s="11" t="n"/>
      <c r="I108" s="9">
        <f>IF(A108="","",IF(AND(WEEKDAY(A108,2)&lt;=5,COUNTIF('Horaires'!$A$9:$A$38,INT(A108))=0,MOD(A108,1)&gt;='Horaires'!$B$4,MOD(A108,1)&lt;'Horaires'!$B$5),"Oui","Non"))</f>
        <v/>
      </c>
      <c r="J108" s="12">
        <f>IF(OR(A108="",C108=""),"",IFERROR(IF(I108="Oui",A108+VLOOKUP(C108,'Tableau de routage'!$A$5:$L$29,6,FALSE)/1440,IF(AND(WEEKDAY(A108,2)&lt;=5,COUNTIF('Horaires'!$A$9:$A$38,INT(A108))=0,MOD(A108,1)&lt;'Horaires'!$B$4),INT(A108),WORKDAY(INT(A108),1,'Horaires'!$A$9:$A$38))+VLOOKUP(C108,'Tableau de routage'!$A$5:$L$29,7,FALSE)),""))</f>
        <v/>
      </c>
      <c r="K108" s="9">
        <f>IF(OR(A108="",H108=""),"",ROUND((H108-A108)*1440,0))</f>
        <v/>
      </c>
      <c r="L108" s="8">
        <f>IF(OR(A108="",J108=""),"",IF(H108="",IF(NOW()&gt;J108,"Sans réponse","En cours"),IF(ROUND((H108-J108)*1440,0)&lt;=0,"À temps","En retard")))</f>
        <v/>
      </c>
      <c r="M108" s="6" t="n"/>
      <c r="N108" s="5" t="n"/>
    </row>
    <row r="109">
      <c r="A109" s="11" t="n"/>
      <c r="B109" s="5" t="n"/>
      <c r="C109" s="5" t="n"/>
      <c r="D109" s="5" t="n"/>
      <c r="E109" s="9">
        <f>IF(C109="","",IFERROR(VLOOKUP(C109,'Tableau de routage'!$A$5:$L$29,3,FALSE),""))</f>
        <v/>
      </c>
      <c r="F109" s="9">
        <f>IF(C109="","",IFERROR(VLOOKUP(C109,'Tableau de routage'!$A$5:$L$29,4,FALSE),""))</f>
        <v/>
      </c>
      <c r="G109" s="6" t="n"/>
      <c r="H109" s="11" t="n"/>
      <c r="I109" s="9">
        <f>IF(A109="","",IF(AND(WEEKDAY(A109,2)&lt;=5,COUNTIF('Horaires'!$A$9:$A$38,INT(A109))=0,MOD(A109,1)&gt;='Horaires'!$B$4,MOD(A109,1)&lt;'Horaires'!$B$5),"Oui","Non"))</f>
        <v/>
      </c>
      <c r="J109" s="12">
        <f>IF(OR(A109="",C109=""),"",IFERROR(IF(I109="Oui",A109+VLOOKUP(C109,'Tableau de routage'!$A$5:$L$29,6,FALSE)/1440,IF(AND(WEEKDAY(A109,2)&lt;=5,COUNTIF('Horaires'!$A$9:$A$38,INT(A109))=0,MOD(A109,1)&lt;'Horaires'!$B$4),INT(A109),WORKDAY(INT(A109),1,'Horaires'!$A$9:$A$38))+VLOOKUP(C109,'Tableau de routage'!$A$5:$L$29,7,FALSE)),""))</f>
        <v/>
      </c>
      <c r="K109" s="9">
        <f>IF(OR(A109="",H109=""),"",ROUND((H109-A109)*1440,0))</f>
        <v/>
      </c>
      <c r="L109" s="8">
        <f>IF(OR(A109="",J109=""),"",IF(H109="",IF(NOW()&gt;J109,"Sans réponse","En cours"),IF(ROUND((H109-J109)*1440,0)&lt;=0,"À temps","En retard")))</f>
        <v/>
      </c>
      <c r="M109" s="6" t="n"/>
      <c r="N109" s="5" t="n"/>
    </row>
    <row r="110">
      <c r="A110" s="11" t="n"/>
      <c r="B110" s="5" t="n"/>
      <c r="C110" s="5" t="n"/>
      <c r="D110" s="5" t="n"/>
      <c r="E110" s="9">
        <f>IF(C110="","",IFERROR(VLOOKUP(C110,'Tableau de routage'!$A$5:$L$29,3,FALSE),""))</f>
        <v/>
      </c>
      <c r="F110" s="9">
        <f>IF(C110="","",IFERROR(VLOOKUP(C110,'Tableau de routage'!$A$5:$L$29,4,FALSE),""))</f>
        <v/>
      </c>
      <c r="G110" s="6" t="n"/>
      <c r="H110" s="11" t="n"/>
      <c r="I110" s="9">
        <f>IF(A110="","",IF(AND(WEEKDAY(A110,2)&lt;=5,COUNTIF('Horaires'!$A$9:$A$38,INT(A110))=0,MOD(A110,1)&gt;='Horaires'!$B$4,MOD(A110,1)&lt;'Horaires'!$B$5),"Oui","Non"))</f>
        <v/>
      </c>
      <c r="J110" s="12">
        <f>IF(OR(A110="",C110=""),"",IFERROR(IF(I110="Oui",A110+VLOOKUP(C110,'Tableau de routage'!$A$5:$L$29,6,FALSE)/1440,IF(AND(WEEKDAY(A110,2)&lt;=5,COUNTIF('Horaires'!$A$9:$A$38,INT(A110))=0,MOD(A110,1)&lt;'Horaires'!$B$4),INT(A110),WORKDAY(INT(A110),1,'Horaires'!$A$9:$A$38))+VLOOKUP(C110,'Tableau de routage'!$A$5:$L$29,7,FALSE)),""))</f>
        <v/>
      </c>
      <c r="K110" s="9">
        <f>IF(OR(A110="",H110=""),"",ROUND((H110-A110)*1440,0))</f>
        <v/>
      </c>
      <c r="L110" s="8">
        <f>IF(OR(A110="",J110=""),"",IF(H110="",IF(NOW()&gt;J110,"Sans réponse","En cours"),IF(ROUND((H110-J110)*1440,0)&lt;=0,"À temps","En retard")))</f>
        <v/>
      </c>
      <c r="M110" s="6" t="n"/>
      <c r="N110" s="5" t="n"/>
    </row>
    <row r="111">
      <c r="A111" s="11" t="n"/>
      <c r="B111" s="5" t="n"/>
      <c r="C111" s="5" t="n"/>
      <c r="D111" s="5" t="n"/>
      <c r="E111" s="9">
        <f>IF(C111="","",IFERROR(VLOOKUP(C111,'Tableau de routage'!$A$5:$L$29,3,FALSE),""))</f>
        <v/>
      </c>
      <c r="F111" s="9">
        <f>IF(C111="","",IFERROR(VLOOKUP(C111,'Tableau de routage'!$A$5:$L$29,4,FALSE),""))</f>
        <v/>
      </c>
      <c r="G111" s="6" t="n"/>
      <c r="H111" s="11" t="n"/>
      <c r="I111" s="9">
        <f>IF(A111="","",IF(AND(WEEKDAY(A111,2)&lt;=5,COUNTIF('Horaires'!$A$9:$A$38,INT(A111))=0,MOD(A111,1)&gt;='Horaires'!$B$4,MOD(A111,1)&lt;'Horaires'!$B$5),"Oui","Non"))</f>
        <v/>
      </c>
      <c r="J111" s="12">
        <f>IF(OR(A111="",C111=""),"",IFERROR(IF(I111="Oui",A111+VLOOKUP(C111,'Tableau de routage'!$A$5:$L$29,6,FALSE)/1440,IF(AND(WEEKDAY(A111,2)&lt;=5,COUNTIF('Horaires'!$A$9:$A$38,INT(A111))=0,MOD(A111,1)&lt;'Horaires'!$B$4),INT(A111),WORKDAY(INT(A111),1,'Horaires'!$A$9:$A$38))+VLOOKUP(C111,'Tableau de routage'!$A$5:$L$29,7,FALSE)),""))</f>
        <v/>
      </c>
      <c r="K111" s="9">
        <f>IF(OR(A111="",H111=""),"",ROUND((H111-A111)*1440,0))</f>
        <v/>
      </c>
      <c r="L111" s="8">
        <f>IF(OR(A111="",J111=""),"",IF(H111="",IF(NOW()&gt;J111,"Sans réponse","En cours"),IF(ROUND((H111-J111)*1440,0)&lt;=0,"À temps","En retard")))</f>
        <v/>
      </c>
      <c r="M111" s="6" t="n"/>
      <c r="N111" s="5" t="n"/>
    </row>
    <row r="112">
      <c r="A112" s="11" t="n"/>
      <c r="B112" s="5" t="n"/>
      <c r="C112" s="5" t="n"/>
      <c r="D112" s="5" t="n"/>
      <c r="E112" s="9">
        <f>IF(C112="","",IFERROR(VLOOKUP(C112,'Tableau de routage'!$A$5:$L$29,3,FALSE),""))</f>
        <v/>
      </c>
      <c r="F112" s="9">
        <f>IF(C112="","",IFERROR(VLOOKUP(C112,'Tableau de routage'!$A$5:$L$29,4,FALSE),""))</f>
        <v/>
      </c>
      <c r="G112" s="6" t="n"/>
      <c r="H112" s="11" t="n"/>
      <c r="I112" s="9">
        <f>IF(A112="","",IF(AND(WEEKDAY(A112,2)&lt;=5,COUNTIF('Horaires'!$A$9:$A$38,INT(A112))=0,MOD(A112,1)&gt;='Horaires'!$B$4,MOD(A112,1)&lt;'Horaires'!$B$5),"Oui","Non"))</f>
        <v/>
      </c>
      <c r="J112" s="12">
        <f>IF(OR(A112="",C112=""),"",IFERROR(IF(I112="Oui",A112+VLOOKUP(C112,'Tableau de routage'!$A$5:$L$29,6,FALSE)/1440,IF(AND(WEEKDAY(A112,2)&lt;=5,COUNTIF('Horaires'!$A$9:$A$38,INT(A112))=0,MOD(A112,1)&lt;'Horaires'!$B$4),INT(A112),WORKDAY(INT(A112),1,'Horaires'!$A$9:$A$38))+VLOOKUP(C112,'Tableau de routage'!$A$5:$L$29,7,FALSE)),""))</f>
        <v/>
      </c>
      <c r="K112" s="9">
        <f>IF(OR(A112="",H112=""),"",ROUND((H112-A112)*1440,0))</f>
        <v/>
      </c>
      <c r="L112" s="8">
        <f>IF(OR(A112="",J112=""),"",IF(H112="",IF(NOW()&gt;J112,"Sans réponse","En cours"),IF(ROUND((H112-J112)*1440,0)&lt;=0,"À temps","En retard")))</f>
        <v/>
      </c>
      <c r="M112" s="6" t="n"/>
      <c r="N112" s="5" t="n"/>
    </row>
    <row r="113">
      <c r="A113" s="11" t="n"/>
      <c r="B113" s="5" t="n"/>
      <c r="C113" s="5" t="n"/>
      <c r="D113" s="5" t="n"/>
      <c r="E113" s="9">
        <f>IF(C113="","",IFERROR(VLOOKUP(C113,'Tableau de routage'!$A$5:$L$29,3,FALSE),""))</f>
        <v/>
      </c>
      <c r="F113" s="9">
        <f>IF(C113="","",IFERROR(VLOOKUP(C113,'Tableau de routage'!$A$5:$L$29,4,FALSE),""))</f>
        <v/>
      </c>
      <c r="G113" s="6" t="n"/>
      <c r="H113" s="11" t="n"/>
      <c r="I113" s="9">
        <f>IF(A113="","",IF(AND(WEEKDAY(A113,2)&lt;=5,COUNTIF('Horaires'!$A$9:$A$38,INT(A113))=0,MOD(A113,1)&gt;='Horaires'!$B$4,MOD(A113,1)&lt;'Horaires'!$B$5),"Oui","Non"))</f>
        <v/>
      </c>
      <c r="J113" s="12">
        <f>IF(OR(A113="",C113=""),"",IFERROR(IF(I113="Oui",A113+VLOOKUP(C113,'Tableau de routage'!$A$5:$L$29,6,FALSE)/1440,IF(AND(WEEKDAY(A113,2)&lt;=5,COUNTIF('Horaires'!$A$9:$A$38,INT(A113))=0,MOD(A113,1)&lt;'Horaires'!$B$4),INT(A113),WORKDAY(INT(A113),1,'Horaires'!$A$9:$A$38))+VLOOKUP(C113,'Tableau de routage'!$A$5:$L$29,7,FALSE)),""))</f>
        <v/>
      </c>
      <c r="K113" s="9">
        <f>IF(OR(A113="",H113=""),"",ROUND((H113-A113)*1440,0))</f>
        <v/>
      </c>
      <c r="L113" s="8">
        <f>IF(OR(A113="",J113=""),"",IF(H113="",IF(NOW()&gt;J113,"Sans réponse","En cours"),IF(ROUND((H113-J113)*1440,0)&lt;=0,"À temps","En retard")))</f>
        <v/>
      </c>
      <c r="M113" s="6" t="n"/>
      <c r="N113" s="5" t="n"/>
    </row>
    <row r="114">
      <c r="A114" s="11" t="n"/>
      <c r="B114" s="5" t="n"/>
      <c r="C114" s="5" t="n"/>
      <c r="D114" s="5" t="n"/>
      <c r="E114" s="9">
        <f>IF(C114="","",IFERROR(VLOOKUP(C114,'Tableau de routage'!$A$5:$L$29,3,FALSE),""))</f>
        <v/>
      </c>
      <c r="F114" s="9">
        <f>IF(C114="","",IFERROR(VLOOKUP(C114,'Tableau de routage'!$A$5:$L$29,4,FALSE),""))</f>
        <v/>
      </c>
      <c r="G114" s="6" t="n"/>
      <c r="H114" s="11" t="n"/>
      <c r="I114" s="9">
        <f>IF(A114="","",IF(AND(WEEKDAY(A114,2)&lt;=5,COUNTIF('Horaires'!$A$9:$A$38,INT(A114))=0,MOD(A114,1)&gt;='Horaires'!$B$4,MOD(A114,1)&lt;'Horaires'!$B$5),"Oui","Non"))</f>
        <v/>
      </c>
      <c r="J114" s="12">
        <f>IF(OR(A114="",C114=""),"",IFERROR(IF(I114="Oui",A114+VLOOKUP(C114,'Tableau de routage'!$A$5:$L$29,6,FALSE)/1440,IF(AND(WEEKDAY(A114,2)&lt;=5,COUNTIF('Horaires'!$A$9:$A$38,INT(A114))=0,MOD(A114,1)&lt;'Horaires'!$B$4),INT(A114),WORKDAY(INT(A114),1,'Horaires'!$A$9:$A$38))+VLOOKUP(C114,'Tableau de routage'!$A$5:$L$29,7,FALSE)),""))</f>
        <v/>
      </c>
      <c r="K114" s="9">
        <f>IF(OR(A114="",H114=""),"",ROUND((H114-A114)*1440,0))</f>
        <v/>
      </c>
      <c r="L114" s="8">
        <f>IF(OR(A114="",J114=""),"",IF(H114="",IF(NOW()&gt;J114,"Sans réponse","En cours"),IF(ROUND((H114-J114)*1440,0)&lt;=0,"À temps","En retard")))</f>
        <v/>
      </c>
      <c r="M114" s="6" t="n"/>
      <c r="N114" s="5" t="n"/>
    </row>
    <row r="115">
      <c r="A115" s="11" t="n"/>
      <c r="B115" s="5" t="n"/>
      <c r="C115" s="5" t="n"/>
      <c r="D115" s="5" t="n"/>
      <c r="E115" s="9">
        <f>IF(C115="","",IFERROR(VLOOKUP(C115,'Tableau de routage'!$A$5:$L$29,3,FALSE),""))</f>
        <v/>
      </c>
      <c r="F115" s="9">
        <f>IF(C115="","",IFERROR(VLOOKUP(C115,'Tableau de routage'!$A$5:$L$29,4,FALSE),""))</f>
        <v/>
      </c>
      <c r="G115" s="6" t="n"/>
      <c r="H115" s="11" t="n"/>
      <c r="I115" s="9">
        <f>IF(A115="","",IF(AND(WEEKDAY(A115,2)&lt;=5,COUNTIF('Horaires'!$A$9:$A$38,INT(A115))=0,MOD(A115,1)&gt;='Horaires'!$B$4,MOD(A115,1)&lt;'Horaires'!$B$5),"Oui","Non"))</f>
        <v/>
      </c>
      <c r="J115" s="12">
        <f>IF(OR(A115="",C115=""),"",IFERROR(IF(I115="Oui",A115+VLOOKUP(C115,'Tableau de routage'!$A$5:$L$29,6,FALSE)/1440,IF(AND(WEEKDAY(A115,2)&lt;=5,COUNTIF('Horaires'!$A$9:$A$38,INT(A115))=0,MOD(A115,1)&lt;'Horaires'!$B$4),INT(A115),WORKDAY(INT(A115),1,'Horaires'!$A$9:$A$38))+VLOOKUP(C115,'Tableau de routage'!$A$5:$L$29,7,FALSE)),""))</f>
        <v/>
      </c>
      <c r="K115" s="9">
        <f>IF(OR(A115="",H115=""),"",ROUND((H115-A115)*1440,0))</f>
        <v/>
      </c>
      <c r="L115" s="8">
        <f>IF(OR(A115="",J115=""),"",IF(H115="",IF(NOW()&gt;J115,"Sans réponse","En cours"),IF(ROUND((H115-J115)*1440,0)&lt;=0,"À temps","En retard")))</f>
        <v/>
      </c>
      <c r="M115" s="6" t="n"/>
      <c r="N115" s="5" t="n"/>
    </row>
    <row r="116">
      <c r="A116" s="11" t="n"/>
      <c r="B116" s="5" t="n"/>
      <c r="C116" s="5" t="n"/>
      <c r="D116" s="5" t="n"/>
      <c r="E116" s="9">
        <f>IF(C116="","",IFERROR(VLOOKUP(C116,'Tableau de routage'!$A$5:$L$29,3,FALSE),""))</f>
        <v/>
      </c>
      <c r="F116" s="9">
        <f>IF(C116="","",IFERROR(VLOOKUP(C116,'Tableau de routage'!$A$5:$L$29,4,FALSE),""))</f>
        <v/>
      </c>
      <c r="G116" s="6" t="n"/>
      <c r="H116" s="11" t="n"/>
      <c r="I116" s="9">
        <f>IF(A116="","",IF(AND(WEEKDAY(A116,2)&lt;=5,COUNTIF('Horaires'!$A$9:$A$38,INT(A116))=0,MOD(A116,1)&gt;='Horaires'!$B$4,MOD(A116,1)&lt;'Horaires'!$B$5),"Oui","Non"))</f>
        <v/>
      </c>
      <c r="J116" s="12">
        <f>IF(OR(A116="",C116=""),"",IFERROR(IF(I116="Oui",A116+VLOOKUP(C116,'Tableau de routage'!$A$5:$L$29,6,FALSE)/1440,IF(AND(WEEKDAY(A116,2)&lt;=5,COUNTIF('Horaires'!$A$9:$A$38,INT(A116))=0,MOD(A116,1)&lt;'Horaires'!$B$4),INT(A116),WORKDAY(INT(A116),1,'Horaires'!$A$9:$A$38))+VLOOKUP(C116,'Tableau de routage'!$A$5:$L$29,7,FALSE)),""))</f>
        <v/>
      </c>
      <c r="K116" s="9">
        <f>IF(OR(A116="",H116=""),"",ROUND((H116-A116)*1440,0))</f>
        <v/>
      </c>
      <c r="L116" s="8">
        <f>IF(OR(A116="",J116=""),"",IF(H116="",IF(NOW()&gt;J116,"Sans réponse","En cours"),IF(ROUND((H116-J116)*1440,0)&lt;=0,"À temps","En retard")))</f>
        <v/>
      </c>
      <c r="M116" s="6" t="n"/>
      <c r="N116" s="5" t="n"/>
    </row>
    <row r="117">
      <c r="A117" s="11" t="n"/>
      <c r="B117" s="5" t="n"/>
      <c r="C117" s="5" t="n"/>
      <c r="D117" s="5" t="n"/>
      <c r="E117" s="9">
        <f>IF(C117="","",IFERROR(VLOOKUP(C117,'Tableau de routage'!$A$5:$L$29,3,FALSE),""))</f>
        <v/>
      </c>
      <c r="F117" s="9">
        <f>IF(C117="","",IFERROR(VLOOKUP(C117,'Tableau de routage'!$A$5:$L$29,4,FALSE),""))</f>
        <v/>
      </c>
      <c r="G117" s="6" t="n"/>
      <c r="H117" s="11" t="n"/>
      <c r="I117" s="9">
        <f>IF(A117="","",IF(AND(WEEKDAY(A117,2)&lt;=5,COUNTIF('Horaires'!$A$9:$A$38,INT(A117))=0,MOD(A117,1)&gt;='Horaires'!$B$4,MOD(A117,1)&lt;'Horaires'!$B$5),"Oui","Non"))</f>
        <v/>
      </c>
      <c r="J117" s="12">
        <f>IF(OR(A117="",C117=""),"",IFERROR(IF(I117="Oui",A117+VLOOKUP(C117,'Tableau de routage'!$A$5:$L$29,6,FALSE)/1440,IF(AND(WEEKDAY(A117,2)&lt;=5,COUNTIF('Horaires'!$A$9:$A$38,INT(A117))=0,MOD(A117,1)&lt;'Horaires'!$B$4),INT(A117),WORKDAY(INT(A117),1,'Horaires'!$A$9:$A$38))+VLOOKUP(C117,'Tableau de routage'!$A$5:$L$29,7,FALSE)),""))</f>
        <v/>
      </c>
      <c r="K117" s="9">
        <f>IF(OR(A117="",H117=""),"",ROUND((H117-A117)*1440,0))</f>
        <v/>
      </c>
      <c r="L117" s="8">
        <f>IF(OR(A117="",J117=""),"",IF(H117="",IF(NOW()&gt;J117,"Sans réponse","En cours"),IF(ROUND((H117-J117)*1440,0)&lt;=0,"À temps","En retard")))</f>
        <v/>
      </c>
      <c r="M117" s="6" t="n"/>
      <c r="N117" s="5" t="n"/>
    </row>
    <row r="118">
      <c r="A118" s="11" t="n"/>
      <c r="B118" s="5" t="n"/>
      <c r="C118" s="5" t="n"/>
      <c r="D118" s="5" t="n"/>
      <c r="E118" s="9">
        <f>IF(C118="","",IFERROR(VLOOKUP(C118,'Tableau de routage'!$A$5:$L$29,3,FALSE),""))</f>
        <v/>
      </c>
      <c r="F118" s="9">
        <f>IF(C118="","",IFERROR(VLOOKUP(C118,'Tableau de routage'!$A$5:$L$29,4,FALSE),""))</f>
        <v/>
      </c>
      <c r="G118" s="6" t="n"/>
      <c r="H118" s="11" t="n"/>
      <c r="I118" s="9">
        <f>IF(A118="","",IF(AND(WEEKDAY(A118,2)&lt;=5,COUNTIF('Horaires'!$A$9:$A$38,INT(A118))=0,MOD(A118,1)&gt;='Horaires'!$B$4,MOD(A118,1)&lt;'Horaires'!$B$5),"Oui","Non"))</f>
        <v/>
      </c>
      <c r="J118" s="12">
        <f>IF(OR(A118="",C118=""),"",IFERROR(IF(I118="Oui",A118+VLOOKUP(C118,'Tableau de routage'!$A$5:$L$29,6,FALSE)/1440,IF(AND(WEEKDAY(A118,2)&lt;=5,COUNTIF('Horaires'!$A$9:$A$38,INT(A118))=0,MOD(A118,1)&lt;'Horaires'!$B$4),INT(A118),WORKDAY(INT(A118),1,'Horaires'!$A$9:$A$38))+VLOOKUP(C118,'Tableau de routage'!$A$5:$L$29,7,FALSE)),""))</f>
        <v/>
      </c>
      <c r="K118" s="9">
        <f>IF(OR(A118="",H118=""),"",ROUND((H118-A118)*1440,0))</f>
        <v/>
      </c>
      <c r="L118" s="8">
        <f>IF(OR(A118="",J118=""),"",IF(H118="",IF(NOW()&gt;J118,"Sans réponse","En cours"),IF(ROUND((H118-J118)*1440,0)&lt;=0,"À temps","En retard")))</f>
        <v/>
      </c>
      <c r="M118" s="6" t="n"/>
      <c r="N118" s="5" t="n"/>
    </row>
    <row r="119">
      <c r="A119" s="11" t="n"/>
      <c r="B119" s="5" t="n"/>
      <c r="C119" s="5" t="n"/>
      <c r="D119" s="5" t="n"/>
      <c r="E119" s="9">
        <f>IF(C119="","",IFERROR(VLOOKUP(C119,'Tableau de routage'!$A$5:$L$29,3,FALSE),""))</f>
        <v/>
      </c>
      <c r="F119" s="9">
        <f>IF(C119="","",IFERROR(VLOOKUP(C119,'Tableau de routage'!$A$5:$L$29,4,FALSE),""))</f>
        <v/>
      </c>
      <c r="G119" s="6" t="n"/>
      <c r="H119" s="11" t="n"/>
      <c r="I119" s="9">
        <f>IF(A119="","",IF(AND(WEEKDAY(A119,2)&lt;=5,COUNTIF('Horaires'!$A$9:$A$38,INT(A119))=0,MOD(A119,1)&gt;='Horaires'!$B$4,MOD(A119,1)&lt;'Horaires'!$B$5),"Oui","Non"))</f>
        <v/>
      </c>
      <c r="J119" s="12">
        <f>IF(OR(A119="",C119=""),"",IFERROR(IF(I119="Oui",A119+VLOOKUP(C119,'Tableau de routage'!$A$5:$L$29,6,FALSE)/1440,IF(AND(WEEKDAY(A119,2)&lt;=5,COUNTIF('Horaires'!$A$9:$A$38,INT(A119))=0,MOD(A119,1)&lt;'Horaires'!$B$4),INT(A119),WORKDAY(INT(A119),1,'Horaires'!$A$9:$A$38))+VLOOKUP(C119,'Tableau de routage'!$A$5:$L$29,7,FALSE)),""))</f>
        <v/>
      </c>
      <c r="K119" s="9">
        <f>IF(OR(A119="",H119=""),"",ROUND((H119-A119)*1440,0))</f>
        <v/>
      </c>
      <c r="L119" s="8">
        <f>IF(OR(A119="",J119=""),"",IF(H119="",IF(NOW()&gt;J119,"Sans réponse","En cours"),IF(ROUND((H119-J119)*1440,0)&lt;=0,"À temps","En retard")))</f>
        <v/>
      </c>
      <c r="M119" s="6" t="n"/>
      <c r="N119" s="5" t="n"/>
    </row>
    <row r="120">
      <c r="A120" s="11" t="n"/>
      <c r="B120" s="5" t="n"/>
      <c r="C120" s="5" t="n"/>
      <c r="D120" s="5" t="n"/>
      <c r="E120" s="9">
        <f>IF(C120="","",IFERROR(VLOOKUP(C120,'Tableau de routage'!$A$5:$L$29,3,FALSE),""))</f>
        <v/>
      </c>
      <c r="F120" s="9">
        <f>IF(C120="","",IFERROR(VLOOKUP(C120,'Tableau de routage'!$A$5:$L$29,4,FALSE),""))</f>
        <v/>
      </c>
      <c r="G120" s="6" t="n"/>
      <c r="H120" s="11" t="n"/>
      <c r="I120" s="9">
        <f>IF(A120="","",IF(AND(WEEKDAY(A120,2)&lt;=5,COUNTIF('Horaires'!$A$9:$A$38,INT(A120))=0,MOD(A120,1)&gt;='Horaires'!$B$4,MOD(A120,1)&lt;'Horaires'!$B$5),"Oui","Non"))</f>
        <v/>
      </c>
      <c r="J120" s="12">
        <f>IF(OR(A120="",C120=""),"",IFERROR(IF(I120="Oui",A120+VLOOKUP(C120,'Tableau de routage'!$A$5:$L$29,6,FALSE)/1440,IF(AND(WEEKDAY(A120,2)&lt;=5,COUNTIF('Horaires'!$A$9:$A$38,INT(A120))=0,MOD(A120,1)&lt;'Horaires'!$B$4),INT(A120),WORKDAY(INT(A120),1,'Horaires'!$A$9:$A$38))+VLOOKUP(C120,'Tableau de routage'!$A$5:$L$29,7,FALSE)),""))</f>
        <v/>
      </c>
      <c r="K120" s="9">
        <f>IF(OR(A120="",H120=""),"",ROUND((H120-A120)*1440,0))</f>
        <v/>
      </c>
      <c r="L120" s="8">
        <f>IF(OR(A120="",J120=""),"",IF(H120="",IF(NOW()&gt;J120,"Sans réponse","En cours"),IF(ROUND((H120-J120)*1440,0)&lt;=0,"À temps","En retard")))</f>
        <v/>
      </c>
      <c r="M120" s="6" t="n"/>
      <c r="N120" s="5" t="n"/>
    </row>
    <row r="121">
      <c r="A121" s="11" t="n"/>
      <c r="B121" s="5" t="n"/>
      <c r="C121" s="5" t="n"/>
      <c r="D121" s="5" t="n"/>
      <c r="E121" s="9">
        <f>IF(C121="","",IFERROR(VLOOKUP(C121,'Tableau de routage'!$A$5:$L$29,3,FALSE),""))</f>
        <v/>
      </c>
      <c r="F121" s="9">
        <f>IF(C121="","",IFERROR(VLOOKUP(C121,'Tableau de routage'!$A$5:$L$29,4,FALSE),""))</f>
        <v/>
      </c>
      <c r="G121" s="6" t="n"/>
      <c r="H121" s="11" t="n"/>
      <c r="I121" s="9">
        <f>IF(A121="","",IF(AND(WEEKDAY(A121,2)&lt;=5,COUNTIF('Horaires'!$A$9:$A$38,INT(A121))=0,MOD(A121,1)&gt;='Horaires'!$B$4,MOD(A121,1)&lt;'Horaires'!$B$5),"Oui","Non"))</f>
        <v/>
      </c>
      <c r="J121" s="12">
        <f>IF(OR(A121="",C121=""),"",IFERROR(IF(I121="Oui",A121+VLOOKUP(C121,'Tableau de routage'!$A$5:$L$29,6,FALSE)/1440,IF(AND(WEEKDAY(A121,2)&lt;=5,COUNTIF('Horaires'!$A$9:$A$38,INT(A121))=0,MOD(A121,1)&lt;'Horaires'!$B$4),INT(A121),WORKDAY(INT(A121),1,'Horaires'!$A$9:$A$38))+VLOOKUP(C121,'Tableau de routage'!$A$5:$L$29,7,FALSE)),""))</f>
        <v/>
      </c>
      <c r="K121" s="9">
        <f>IF(OR(A121="",H121=""),"",ROUND((H121-A121)*1440,0))</f>
        <v/>
      </c>
      <c r="L121" s="8">
        <f>IF(OR(A121="",J121=""),"",IF(H121="",IF(NOW()&gt;J121,"Sans réponse","En cours"),IF(ROUND((H121-J121)*1440,0)&lt;=0,"À temps","En retard")))</f>
        <v/>
      </c>
      <c r="M121" s="6" t="n"/>
      <c r="N121" s="5" t="n"/>
    </row>
    <row r="122">
      <c r="A122" s="11" t="n"/>
      <c r="B122" s="5" t="n"/>
      <c r="C122" s="5" t="n"/>
      <c r="D122" s="5" t="n"/>
      <c r="E122" s="9">
        <f>IF(C122="","",IFERROR(VLOOKUP(C122,'Tableau de routage'!$A$5:$L$29,3,FALSE),""))</f>
        <v/>
      </c>
      <c r="F122" s="9">
        <f>IF(C122="","",IFERROR(VLOOKUP(C122,'Tableau de routage'!$A$5:$L$29,4,FALSE),""))</f>
        <v/>
      </c>
      <c r="G122" s="6" t="n"/>
      <c r="H122" s="11" t="n"/>
      <c r="I122" s="9">
        <f>IF(A122="","",IF(AND(WEEKDAY(A122,2)&lt;=5,COUNTIF('Horaires'!$A$9:$A$38,INT(A122))=0,MOD(A122,1)&gt;='Horaires'!$B$4,MOD(A122,1)&lt;'Horaires'!$B$5),"Oui","Non"))</f>
        <v/>
      </c>
      <c r="J122" s="12">
        <f>IF(OR(A122="",C122=""),"",IFERROR(IF(I122="Oui",A122+VLOOKUP(C122,'Tableau de routage'!$A$5:$L$29,6,FALSE)/1440,IF(AND(WEEKDAY(A122,2)&lt;=5,COUNTIF('Horaires'!$A$9:$A$38,INT(A122))=0,MOD(A122,1)&lt;'Horaires'!$B$4),INT(A122),WORKDAY(INT(A122),1,'Horaires'!$A$9:$A$38))+VLOOKUP(C122,'Tableau de routage'!$A$5:$L$29,7,FALSE)),""))</f>
        <v/>
      </c>
      <c r="K122" s="9">
        <f>IF(OR(A122="",H122=""),"",ROUND((H122-A122)*1440,0))</f>
        <v/>
      </c>
      <c r="L122" s="8">
        <f>IF(OR(A122="",J122=""),"",IF(H122="",IF(NOW()&gt;J122,"Sans réponse","En cours"),IF(ROUND((H122-J122)*1440,0)&lt;=0,"À temps","En retard")))</f>
        <v/>
      </c>
      <c r="M122" s="6" t="n"/>
      <c r="N122" s="5" t="n"/>
    </row>
    <row r="123">
      <c r="A123" s="11" t="n"/>
      <c r="B123" s="5" t="n"/>
      <c r="C123" s="5" t="n"/>
      <c r="D123" s="5" t="n"/>
      <c r="E123" s="9">
        <f>IF(C123="","",IFERROR(VLOOKUP(C123,'Tableau de routage'!$A$5:$L$29,3,FALSE),""))</f>
        <v/>
      </c>
      <c r="F123" s="9">
        <f>IF(C123="","",IFERROR(VLOOKUP(C123,'Tableau de routage'!$A$5:$L$29,4,FALSE),""))</f>
        <v/>
      </c>
      <c r="G123" s="6" t="n"/>
      <c r="H123" s="11" t="n"/>
      <c r="I123" s="9">
        <f>IF(A123="","",IF(AND(WEEKDAY(A123,2)&lt;=5,COUNTIF('Horaires'!$A$9:$A$38,INT(A123))=0,MOD(A123,1)&gt;='Horaires'!$B$4,MOD(A123,1)&lt;'Horaires'!$B$5),"Oui","Non"))</f>
        <v/>
      </c>
      <c r="J123" s="12">
        <f>IF(OR(A123="",C123=""),"",IFERROR(IF(I123="Oui",A123+VLOOKUP(C123,'Tableau de routage'!$A$5:$L$29,6,FALSE)/1440,IF(AND(WEEKDAY(A123,2)&lt;=5,COUNTIF('Horaires'!$A$9:$A$38,INT(A123))=0,MOD(A123,1)&lt;'Horaires'!$B$4),INT(A123),WORKDAY(INT(A123),1,'Horaires'!$A$9:$A$38))+VLOOKUP(C123,'Tableau de routage'!$A$5:$L$29,7,FALSE)),""))</f>
        <v/>
      </c>
      <c r="K123" s="9">
        <f>IF(OR(A123="",H123=""),"",ROUND((H123-A123)*1440,0))</f>
        <v/>
      </c>
      <c r="L123" s="8">
        <f>IF(OR(A123="",J123=""),"",IF(H123="",IF(NOW()&gt;J123,"Sans réponse","En cours"),IF(ROUND((H123-J123)*1440,0)&lt;=0,"À temps","En retard")))</f>
        <v/>
      </c>
      <c r="M123" s="6" t="n"/>
      <c r="N123" s="5" t="n"/>
    </row>
    <row r="124">
      <c r="A124" s="11" t="n"/>
      <c r="B124" s="5" t="n"/>
      <c r="C124" s="5" t="n"/>
      <c r="D124" s="5" t="n"/>
      <c r="E124" s="9">
        <f>IF(C124="","",IFERROR(VLOOKUP(C124,'Tableau de routage'!$A$5:$L$29,3,FALSE),""))</f>
        <v/>
      </c>
      <c r="F124" s="9">
        <f>IF(C124="","",IFERROR(VLOOKUP(C124,'Tableau de routage'!$A$5:$L$29,4,FALSE),""))</f>
        <v/>
      </c>
      <c r="G124" s="6" t="n"/>
      <c r="H124" s="11" t="n"/>
      <c r="I124" s="9">
        <f>IF(A124="","",IF(AND(WEEKDAY(A124,2)&lt;=5,COUNTIF('Horaires'!$A$9:$A$38,INT(A124))=0,MOD(A124,1)&gt;='Horaires'!$B$4,MOD(A124,1)&lt;'Horaires'!$B$5),"Oui","Non"))</f>
        <v/>
      </c>
      <c r="J124" s="12">
        <f>IF(OR(A124="",C124=""),"",IFERROR(IF(I124="Oui",A124+VLOOKUP(C124,'Tableau de routage'!$A$5:$L$29,6,FALSE)/1440,IF(AND(WEEKDAY(A124,2)&lt;=5,COUNTIF('Horaires'!$A$9:$A$38,INT(A124))=0,MOD(A124,1)&lt;'Horaires'!$B$4),INT(A124),WORKDAY(INT(A124),1,'Horaires'!$A$9:$A$38))+VLOOKUP(C124,'Tableau de routage'!$A$5:$L$29,7,FALSE)),""))</f>
        <v/>
      </c>
      <c r="K124" s="9">
        <f>IF(OR(A124="",H124=""),"",ROUND((H124-A124)*1440,0))</f>
        <v/>
      </c>
      <c r="L124" s="8">
        <f>IF(OR(A124="",J124=""),"",IF(H124="",IF(NOW()&gt;J124,"Sans réponse","En cours"),IF(ROUND((H124-J124)*1440,0)&lt;=0,"À temps","En retard")))</f>
        <v/>
      </c>
      <c r="M124" s="6" t="n"/>
      <c r="N124" s="5" t="n"/>
    </row>
    <row r="125">
      <c r="A125" s="11" t="n"/>
      <c r="B125" s="5" t="n"/>
      <c r="C125" s="5" t="n"/>
      <c r="D125" s="5" t="n"/>
      <c r="E125" s="9">
        <f>IF(C125="","",IFERROR(VLOOKUP(C125,'Tableau de routage'!$A$5:$L$29,3,FALSE),""))</f>
        <v/>
      </c>
      <c r="F125" s="9">
        <f>IF(C125="","",IFERROR(VLOOKUP(C125,'Tableau de routage'!$A$5:$L$29,4,FALSE),""))</f>
        <v/>
      </c>
      <c r="G125" s="6" t="n"/>
      <c r="H125" s="11" t="n"/>
      <c r="I125" s="9">
        <f>IF(A125="","",IF(AND(WEEKDAY(A125,2)&lt;=5,COUNTIF('Horaires'!$A$9:$A$38,INT(A125))=0,MOD(A125,1)&gt;='Horaires'!$B$4,MOD(A125,1)&lt;'Horaires'!$B$5),"Oui","Non"))</f>
        <v/>
      </c>
      <c r="J125" s="12">
        <f>IF(OR(A125="",C125=""),"",IFERROR(IF(I125="Oui",A125+VLOOKUP(C125,'Tableau de routage'!$A$5:$L$29,6,FALSE)/1440,IF(AND(WEEKDAY(A125,2)&lt;=5,COUNTIF('Horaires'!$A$9:$A$38,INT(A125))=0,MOD(A125,1)&lt;'Horaires'!$B$4),INT(A125),WORKDAY(INT(A125),1,'Horaires'!$A$9:$A$38))+VLOOKUP(C125,'Tableau de routage'!$A$5:$L$29,7,FALSE)),""))</f>
        <v/>
      </c>
      <c r="K125" s="9">
        <f>IF(OR(A125="",H125=""),"",ROUND((H125-A125)*1440,0))</f>
        <v/>
      </c>
      <c r="L125" s="8">
        <f>IF(OR(A125="",J125=""),"",IF(H125="",IF(NOW()&gt;J125,"Sans réponse","En cours"),IF(ROUND((H125-J125)*1440,0)&lt;=0,"À temps","En retard")))</f>
        <v/>
      </c>
      <c r="M125" s="6" t="n"/>
      <c r="N125" s="5" t="n"/>
    </row>
    <row r="126">
      <c r="A126" s="11" t="n"/>
      <c r="B126" s="5" t="n"/>
      <c r="C126" s="5" t="n"/>
      <c r="D126" s="5" t="n"/>
      <c r="E126" s="9">
        <f>IF(C126="","",IFERROR(VLOOKUP(C126,'Tableau de routage'!$A$5:$L$29,3,FALSE),""))</f>
        <v/>
      </c>
      <c r="F126" s="9">
        <f>IF(C126="","",IFERROR(VLOOKUP(C126,'Tableau de routage'!$A$5:$L$29,4,FALSE),""))</f>
        <v/>
      </c>
      <c r="G126" s="6" t="n"/>
      <c r="H126" s="11" t="n"/>
      <c r="I126" s="9">
        <f>IF(A126="","",IF(AND(WEEKDAY(A126,2)&lt;=5,COUNTIF('Horaires'!$A$9:$A$38,INT(A126))=0,MOD(A126,1)&gt;='Horaires'!$B$4,MOD(A126,1)&lt;'Horaires'!$B$5),"Oui","Non"))</f>
        <v/>
      </c>
      <c r="J126" s="12">
        <f>IF(OR(A126="",C126=""),"",IFERROR(IF(I126="Oui",A126+VLOOKUP(C126,'Tableau de routage'!$A$5:$L$29,6,FALSE)/1440,IF(AND(WEEKDAY(A126,2)&lt;=5,COUNTIF('Horaires'!$A$9:$A$38,INT(A126))=0,MOD(A126,1)&lt;'Horaires'!$B$4),INT(A126),WORKDAY(INT(A126),1,'Horaires'!$A$9:$A$38))+VLOOKUP(C126,'Tableau de routage'!$A$5:$L$29,7,FALSE)),""))</f>
        <v/>
      </c>
      <c r="K126" s="9">
        <f>IF(OR(A126="",H126=""),"",ROUND((H126-A126)*1440,0))</f>
        <v/>
      </c>
      <c r="L126" s="8">
        <f>IF(OR(A126="",J126=""),"",IF(H126="",IF(NOW()&gt;J126,"Sans réponse","En cours"),IF(ROUND((H126-J126)*1440,0)&lt;=0,"À temps","En retard")))</f>
        <v/>
      </c>
      <c r="M126" s="6" t="n"/>
      <c r="N126" s="5" t="n"/>
    </row>
    <row r="127">
      <c r="A127" s="11" t="n"/>
      <c r="B127" s="5" t="n"/>
      <c r="C127" s="5" t="n"/>
      <c r="D127" s="5" t="n"/>
      <c r="E127" s="9">
        <f>IF(C127="","",IFERROR(VLOOKUP(C127,'Tableau de routage'!$A$5:$L$29,3,FALSE),""))</f>
        <v/>
      </c>
      <c r="F127" s="9">
        <f>IF(C127="","",IFERROR(VLOOKUP(C127,'Tableau de routage'!$A$5:$L$29,4,FALSE),""))</f>
        <v/>
      </c>
      <c r="G127" s="6" t="n"/>
      <c r="H127" s="11" t="n"/>
      <c r="I127" s="9">
        <f>IF(A127="","",IF(AND(WEEKDAY(A127,2)&lt;=5,COUNTIF('Horaires'!$A$9:$A$38,INT(A127))=0,MOD(A127,1)&gt;='Horaires'!$B$4,MOD(A127,1)&lt;'Horaires'!$B$5),"Oui","Non"))</f>
        <v/>
      </c>
      <c r="J127" s="12">
        <f>IF(OR(A127="",C127=""),"",IFERROR(IF(I127="Oui",A127+VLOOKUP(C127,'Tableau de routage'!$A$5:$L$29,6,FALSE)/1440,IF(AND(WEEKDAY(A127,2)&lt;=5,COUNTIF('Horaires'!$A$9:$A$38,INT(A127))=0,MOD(A127,1)&lt;'Horaires'!$B$4),INT(A127),WORKDAY(INT(A127),1,'Horaires'!$A$9:$A$38))+VLOOKUP(C127,'Tableau de routage'!$A$5:$L$29,7,FALSE)),""))</f>
        <v/>
      </c>
      <c r="K127" s="9">
        <f>IF(OR(A127="",H127=""),"",ROUND((H127-A127)*1440,0))</f>
        <v/>
      </c>
      <c r="L127" s="8">
        <f>IF(OR(A127="",J127=""),"",IF(H127="",IF(NOW()&gt;J127,"Sans réponse","En cours"),IF(ROUND((H127-J127)*1440,0)&lt;=0,"À temps","En retard")))</f>
        <v/>
      </c>
      <c r="M127" s="6" t="n"/>
      <c r="N127" s="5" t="n"/>
    </row>
    <row r="128">
      <c r="A128" s="11" t="n"/>
      <c r="B128" s="5" t="n"/>
      <c r="C128" s="5" t="n"/>
      <c r="D128" s="5" t="n"/>
      <c r="E128" s="9">
        <f>IF(C128="","",IFERROR(VLOOKUP(C128,'Tableau de routage'!$A$5:$L$29,3,FALSE),""))</f>
        <v/>
      </c>
      <c r="F128" s="9">
        <f>IF(C128="","",IFERROR(VLOOKUP(C128,'Tableau de routage'!$A$5:$L$29,4,FALSE),""))</f>
        <v/>
      </c>
      <c r="G128" s="6" t="n"/>
      <c r="H128" s="11" t="n"/>
      <c r="I128" s="9">
        <f>IF(A128="","",IF(AND(WEEKDAY(A128,2)&lt;=5,COUNTIF('Horaires'!$A$9:$A$38,INT(A128))=0,MOD(A128,1)&gt;='Horaires'!$B$4,MOD(A128,1)&lt;'Horaires'!$B$5),"Oui","Non"))</f>
        <v/>
      </c>
      <c r="J128" s="12">
        <f>IF(OR(A128="",C128=""),"",IFERROR(IF(I128="Oui",A128+VLOOKUP(C128,'Tableau de routage'!$A$5:$L$29,6,FALSE)/1440,IF(AND(WEEKDAY(A128,2)&lt;=5,COUNTIF('Horaires'!$A$9:$A$38,INT(A128))=0,MOD(A128,1)&lt;'Horaires'!$B$4),INT(A128),WORKDAY(INT(A128),1,'Horaires'!$A$9:$A$38))+VLOOKUP(C128,'Tableau de routage'!$A$5:$L$29,7,FALSE)),""))</f>
        <v/>
      </c>
      <c r="K128" s="9">
        <f>IF(OR(A128="",H128=""),"",ROUND((H128-A128)*1440,0))</f>
        <v/>
      </c>
      <c r="L128" s="8">
        <f>IF(OR(A128="",J128=""),"",IF(H128="",IF(NOW()&gt;J128,"Sans réponse","En cours"),IF(ROUND((H128-J128)*1440,0)&lt;=0,"À temps","En retard")))</f>
        <v/>
      </c>
      <c r="M128" s="6" t="n"/>
      <c r="N128" s="5" t="n"/>
    </row>
    <row r="129">
      <c r="A129" s="11" t="n"/>
      <c r="B129" s="5" t="n"/>
      <c r="C129" s="5" t="n"/>
      <c r="D129" s="5" t="n"/>
      <c r="E129" s="9">
        <f>IF(C129="","",IFERROR(VLOOKUP(C129,'Tableau de routage'!$A$5:$L$29,3,FALSE),""))</f>
        <v/>
      </c>
      <c r="F129" s="9">
        <f>IF(C129="","",IFERROR(VLOOKUP(C129,'Tableau de routage'!$A$5:$L$29,4,FALSE),""))</f>
        <v/>
      </c>
      <c r="G129" s="6" t="n"/>
      <c r="H129" s="11" t="n"/>
      <c r="I129" s="9">
        <f>IF(A129="","",IF(AND(WEEKDAY(A129,2)&lt;=5,COUNTIF('Horaires'!$A$9:$A$38,INT(A129))=0,MOD(A129,1)&gt;='Horaires'!$B$4,MOD(A129,1)&lt;'Horaires'!$B$5),"Oui","Non"))</f>
        <v/>
      </c>
      <c r="J129" s="12">
        <f>IF(OR(A129="",C129=""),"",IFERROR(IF(I129="Oui",A129+VLOOKUP(C129,'Tableau de routage'!$A$5:$L$29,6,FALSE)/1440,IF(AND(WEEKDAY(A129,2)&lt;=5,COUNTIF('Horaires'!$A$9:$A$38,INT(A129))=0,MOD(A129,1)&lt;'Horaires'!$B$4),INT(A129),WORKDAY(INT(A129),1,'Horaires'!$A$9:$A$38))+VLOOKUP(C129,'Tableau de routage'!$A$5:$L$29,7,FALSE)),""))</f>
        <v/>
      </c>
      <c r="K129" s="9">
        <f>IF(OR(A129="",H129=""),"",ROUND((H129-A129)*1440,0))</f>
        <v/>
      </c>
      <c r="L129" s="8">
        <f>IF(OR(A129="",J129=""),"",IF(H129="",IF(NOW()&gt;J129,"Sans réponse","En cours"),IF(ROUND((H129-J129)*1440,0)&lt;=0,"À temps","En retard")))</f>
        <v/>
      </c>
      <c r="M129" s="6" t="n"/>
      <c r="N129" s="5" t="n"/>
    </row>
    <row r="130">
      <c r="A130" s="11" t="n"/>
      <c r="B130" s="5" t="n"/>
      <c r="C130" s="5" t="n"/>
      <c r="D130" s="5" t="n"/>
      <c r="E130" s="9">
        <f>IF(C130="","",IFERROR(VLOOKUP(C130,'Tableau de routage'!$A$5:$L$29,3,FALSE),""))</f>
        <v/>
      </c>
      <c r="F130" s="9">
        <f>IF(C130="","",IFERROR(VLOOKUP(C130,'Tableau de routage'!$A$5:$L$29,4,FALSE),""))</f>
        <v/>
      </c>
      <c r="G130" s="6" t="n"/>
      <c r="H130" s="11" t="n"/>
      <c r="I130" s="9">
        <f>IF(A130="","",IF(AND(WEEKDAY(A130,2)&lt;=5,COUNTIF('Horaires'!$A$9:$A$38,INT(A130))=0,MOD(A130,1)&gt;='Horaires'!$B$4,MOD(A130,1)&lt;'Horaires'!$B$5),"Oui","Non"))</f>
        <v/>
      </c>
      <c r="J130" s="12">
        <f>IF(OR(A130="",C130=""),"",IFERROR(IF(I130="Oui",A130+VLOOKUP(C130,'Tableau de routage'!$A$5:$L$29,6,FALSE)/1440,IF(AND(WEEKDAY(A130,2)&lt;=5,COUNTIF('Horaires'!$A$9:$A$38,INT(A130))=0,MOD(A130,1)&lt;'Horaires'!$B$4),INT(A130),WORKDAY(INT(A130),1,'Horaires'!$A$9:$A$38))+VLOOKUP(C130,'Tableau de routage'!$A$5:$L$29,7,FALSE)),""))</f>
        <v/>
      </c>
      <c r="K130" s="9">
        <f>IF(OR(A130="",H130=""),"",ROUND((H130-A130)*1440,0))</f>
        <v/>
      </c>
      <c r="L130" s="8">
        <f>IF(OR(A130="",J130=""),"",IF(H130="",IF(NOW()&gt;J130,"Sans réponse","En cours"),IF(ROUND((H130-J130)*1440,0)&lt;=0,"À temps","En retard")))</f>
        <v/>
      </c>
      <c r="M130" s="6" t="n"/>
      <c r="N130" s="5" t="n"/>
    </row>
    <row r="131">
      <c r="A131" s="11" t="n"/>
      <c r="B131" s="5" t="n"/>
      <c r="C131" s="5" t="n"/>
      <c r="D131" s="5" t="n"/>
      <c r="E131" s="9">
        <f>IF(C131="","",IFERROR(VLOOKUP(C131,'Tableau de routage'!$A$5:$L$29,3,FALSE),""))</f>
        <v/>
      </c>
      <c r="F131" s="9">
        <f>IF(C131="","",IFERROR(VLOOKUP(C131,'Tableau de routage'!$A$5:$L$29,4,FALSE),""))</f>
        <v/>
      </c>
      <c r="G131" s="6" t="n"/>
      <c r="H131" s="11" t="n"/>
      <c r="I131" s="9">
        <f>IF(A131="","",IF(AND(WEEKDAY(A131,2)&lt;=5,COUNTIF('Horaires'!$A$9:$A$38,INT(A131))=0,MOD(A131,1)&gt;='Horaires'!$B$4,MOD(A131,1)&lt;'Horaires'!$B$5),"Oui","Non"))</f>
        <v/>
      </c>
      <c r="J131" s="12">
        <f>IF(OR(A131="",C131=""),"",IFERROR(IF(I131="Oui",A131+VLOOKUP(C131,'Tableau de routage'!$A$5:$L$29,6,FALSE)/1440,IF(AND(WEEKDAY(A131,2)&lt;=5,COUNTIF('Horaires'!$A$9:$A$38,INT(A131))=0,MOD(A131,1)&lt;'Horaires'!$B$4),INT(A131),WORKDAY(INT(A131),1,'Horaires'!$A$9:$A$38))+VLOOKUP(C131,'Tableau de routage'!$A$5:$L$29,7,FALSE)),""))</f>
        <v/>
      </c>
      <c r="K131" s="9">
        <f>IF(OR(A131="",H131=""),"",ROUND((H131-A131)*1440,0))</f>
        <v/>
      </c>
      <c r="L131" s="8">
        <f>IF(OR(A131="",J131=""),"",IF(H131="",IF(NOW()&gt;J131,"Sans réponse","En cours"),IF(ROUND((H131-J131)*1440,0)&lt;=0,"À temps","En retard")))</f>
        <v/>
      </c>
      <c r="M131" s="6" t="n"/>
      <c r="N131" s="5" t="n"/>
    </row>
    <row r="132">
      <c r="A132" s="11" t="n"/>
      <c r="B132" s="5" t="n"/>
      <c r="C132" s="5" t="n"/>
      <c r="D132" s="5" t="n"/>
      <c r="E132" s="9">
        <f>IF(C132="","",IFERROR(VLOOKUP(C132,'Tableau de routage'!$A$5:$L$29,3,FALSE),""))</f>
        <v/>
      </c>
      <c r="F132" s="9">
        <f>IF(C132="","",IFERROR(VLOOKUP(C132,'Tableau de routage'!$A$5:$L$29,4,FALSE),""))</f>
        <v/>
      </c>
      <c r="G132" s="6" t="n"/>
      <c r="H132" s="11" t="n"/>
      <c r="I132" s="9">
        <f>IF(A132="","",IF(AND(WEEKDAY(A132,2)&lt;=5,COUNTIF('Horaires'!$A$9:$A$38,INT(A132))=0,MOD(A132,1)&gt;='Horaires'!$B$4,MOD(A132,1)&lt;'Horaires'!$B$5),"Oui","Non"))</f>
        <v/>
      </c>
      <c r="J132" s="12">
        <f>IF(OR(A132="",C132=""),"",IFERROR(IF(I132="Oui",A132+VLOOKUP(C132,'Tableau de routage'!$A$5:$L$29,6,FALSE)/1440,IF(AND(WEEKDAY(A132,2)&lt;=5,COUNTIF('Horaires'!$A$9:$A$38,INT(A132))=0,MOD(A132,1)&lt;'Horaires'!$B$4),INT(A132),WORKDAY(INT(A132),1,'Horaires'!$A$9:$A$38))+VLOOKUP(C132,'Tableau de routage'!$A$5:$L$29,7,FALSE)),""))</f>
        <v/>
      </c>
      <c r="K132" s="9">
        <f>IF(OR(A132="",H132=""),"",ROUND((H132-A132)*1440,0))</f>
        <v/>
      </c>
      <c r="L132" s="8">
        <f>IF(OR(A132="",J132=""),"",IF(H132="",IF(NOW()&gt;J132,"Sans réponse","En cours"),IF(ROUND((H132-J132)*1440,0)&lt;=0,"À temps","En retard")))</f>
        <v/>
      </c>
      <c r="M132" s="6" t="n"/>
      <c r="N132" s="5" t="n"/>
    </row>
    <row r="133">
      <c r="A133" s="11" t="n"/>
      <c r="B133" s="5" t="n"/>
      <c r="C133" s="5" t="n"/>
      <c r="D133" s="5" t="n"/>
      <c r="E133" s="9">
        <f>IF(C133="","",IFERROR(VLOOKUP(C133,'Tableau de routage'!$A$5:$L$29,3,FALSE),""))</f>
        <v/>
      </c>
      <c r="F133" s="9">
        <f>IF(C133="","",IFERROR(VLOOKUP(C133,'Tableau de routage'!$A$5:$L$29,4,FALSE),""))</f>
        <v/>
      </c>
      <c r="G133" s="6" t="n"/>
      <c r="H133" s="11" t="n"/>
      <c r="I133" s="9">
        <f>IF(A133="","",IF(AND(WEEKDAY(A133,2)&lt;=5,COUNTIF('Horaires'!$A$9:$A$38,INT(A133))=0,MOD(A133,1)&gt;='Horaires'!$B$4,MOD(A133,1)&lt;'Horaires'!$B$5),"Oui","Non"))</f>
        <v/>
      </c>
      <c r="J133" s="12">
        <f>IF(OR(A133="",C133=""),"",IFERROR(IF(I133="Oui",A133+VLOOKUP(C133,'Tableau de routage'!$A$5:$L$29,6,FALSE)/1440,IF(AND(WEEKDAY(A133,2)&lt;=5,COUNTIF('Horaires'!$A$9:$A$38,INT(A133))=0,MOD(A133,1)&lt;'Horaires'!$B$4),INT(A133),WORKDAY(INT(A133),1,'Horaires'!$A$9:$A$38))+VLOOKUP(C133,'Tableau de routage'!$A$5:$L$29,7,FALSE)),""))</f>
        <v/>
      </c>
      <c r="K133" s="9">
        <f>IF(OR(A133="",H133=""),"",ROUND((H133-A133)*1440,0))</f>
        <v/>
      </c>
      <c r="L133" s="8">
        <f>IF(OR(A133="",J133=""),"",IF(H133="",IF(NOW()&gt;J133,"Sans réponse","En cours"),IF(ROUND((H133-J133)*1440,0)&lt;=0,"À temps","En retard")))</f>
        <v/>
      </c>
      <c r="M133" s="6" t="n"/>
      <c r="N133" s="5" t="n"/>
    </row>
    <row r="134">
      <c r="A134" s="11" t="n"/>
      <c r="B134" s="5" t="n"/>
      <c r="C134" s="5" t="n"/>
      <c r="D134" s="5" t="n"/>
      <c r="E134" s="9">
        <f>IF(C134="","",IFERROR(VLOOKUP(C134,'Tableau de routage'!$A$5:$L$29,3,FALSE),""))</f>
        <v/>
      </c>
      <c r="F134" s="9">
        <f>IF(C134="","",IFERROR(VLOOKUP(C134,'Tableau de routage'!$A$5:$L$29,4,FALSE),""))</f>
        <v/>
      </c>
      <c r="G134" s="6" t="n"/>
      <c r="H134" s="11" t="n"/>
      <c r="I134" s="9">
        <f>IF(A134="","",IF(AND(WEEKDAY(A134,2)&lt;=5,COUNTIF('Horaires'!$A$9:$A$38,INT(A134))=0,MOD(A134,1)&gt;='Horaires'!$B$4,MOD(A134,1)&lt;'Horaires'!$B$5),"Oui","Non"))</f>
        <v/>
      </c>
      <c r="J134" s="12">
        <f>IF(OR(A134="",C134=""),"",IFERROR(IF(I134="Oui",A134+VLOOKUP(C134,'Tableau de routage'!$A$5:$L$29,6,FALSE)/1440,IF(AND(WEEKDAY(A134,2)&lt;=5,COUNTIF('Horaires'!$A$9:$A$38,INT(A134))=0,MOD(A134,1)&lt;'Horaires'!$B$4),INT(A134),WORKDAY(INT(A134),1,'Horaires'!$A$9:$A$38))+VLOOKUP(C134,'Tableau de routage'!$A$5:$L$29,7,FALSE)),""))</f>
        <v/>
      </c>
      <c r="K134" s="9">
        <f>IF(OR(A134="",H134=""),"",ROUND((H134-A134)*1440,0))</f>
        <v/>
      </c>
      <c r="L134" s="8">
        <f>IF(OR(A134="",J134=""),"",IF(H134="",IF(NOW()&gt;J134,"Sans réponse","En cours"),IF(ROUND((H134-J134)*1440,0)&lt;=0,"À temps","En retard")))</f>
        <v/>
      </c>
      <c r="M134" s="6" t="n"/>
      <c r="N134" s="5" t="n"/>
    </row>
    <row r="135">
      <c r="A135" s="11" t="n"/>
      <c r="B135" s="5" t="n"/>
      <c r="C135" s="5" t="n"/>
      <c r="D135" s="5" t="n"/>
      <c r="E135" s="9">
        <f>IF(C135="","",IFERROR(VLOOKUP(C135,'Tableau de routage'!$A$5:$L$29,3,FALSE),""))</f>
        <v/>
      </c>
      <c r="F135" s="9">
        <f>IF(C135="","",IFERROR(VLOOKUP(C135,'Tableau de routage'!$A$5:$L$29,4,FALSE),""))</f>
        <v/>
      </c>
      <c r="G135" s="6" t="n"/>
      <c r="H135" s="11" t="n"/>
      <c r="I135" s="9">
        <f>IF(A135="","",IF(AND(WEEKDAY(A135,2)&lt;=5,COUNTIF('Horaires'!$A$9:$A$38,INT(A135))=0,MOD(A135,1)&gt;='Horaires'!$B$4,MOD(A135,1)&lt;'Horaires'!$B$5),"Oui","Non"))</f>
        <v/>
      </c>
      <c r="J135" s="12">
        <f>IF(OR(A135="",C135=""),"",IFERROR(IF(I135="Oui",A135+VLOOKUP(C135,'Tableau de routage'!$A$5:$L$29,6,FALSE)/1440,IF(AND(WEEKDAY(A135,2)&lt;=5,COUNTIF('Horaires'!$A$9:$A$38,INT(A135))=0,MOD(A135,1)&lt;'Horaires'!$B$4),INT(A135),WORKDAY(INT(A135),1,'Horaires'!$A$9:$A$38))+VLOOKUP(C135,'Tableau de routage'!$A$5:$L$29,7,FALSE)),""))</f>
        <v/>
      </c>
      <c r="K135" s="9">
        <f>IF(OR(A135="",H135=""),"",ROUND((H135-A135)*1440,0))</f>
        <v/>
      </c>
      <c r="L135" s="8">
        <f>IF(OR(A135="",J135=""),"",IF(H135="",IF(NOW()&gt;J135,"Sans réponse","En cours"),IF(ROUND((H135-J135)*1440,0)&lt;=0,"À temps","En retard")))</f>
        <v/>
      </c>
      <c r="M135" s="6" t="n"/>
      <c r="N135" s="5" t="n"/>
    </row>
    <row r="136">
      <c r="A136" s="11" t="n"/>
      <c r="B136" s="5" t="n"/>
      <c r="C136" s="5" t="n"/>
      <c r="D136" s="5" t="n"/>
      <c r="E136" s="9">
        <f>IF(C136="","",IFERROR(VLOOKUP(C136,'Tableau de routage'!$A$5:$L$29,3,FALSE),""))</f>
        <v/>
      </c>
      <c r="F136" s="9">
        <f>IF(C136="","",IFERROR(VLOOKUP(C136,'Tableau de routage'!$A$5:$L$29,4,FALSE),""))</f>
        <v/>
      </c>
      <c r="G136" s="6" t="n"/>
      <c r="H136" s="11" t="n"/>
      <c r="I136" s="9">
        <f>IF(A136="","",IF(AND(WEEKDAY(A136,2)&lt;=5,COUNTIF('Horaires'!$A$9:$A$38,INT(A136))=0,MOD(A136,1)&gt;='Horaires'!$B$4,MOD(A136,1)&lt;'Horaires'!$B$5),"Oui","Non"))</f>
        <v/>
      </c>
      <c r="J136" s="12">
        <f>IF(OR(A136="",C136=""),"",IFERROR(IF(I136="Oui",A136+VLOOKUP(C136,'Tableau de routage'!$A$5:$L$29,6,FALSE)/1440,IF(AND(WEEKDAY(A136,2)&lt;=5,COUNTIF('Horaires'!$A$9:$A$38,INT(A136))=0,MOD(A136,1)&lt;'Horaires'!$B$4),INT(A136),WORKDAY(INT(A136),1,'Horaires'!$A$9:$A$38))+VLOOKUP(C136,'Tableau de routage'!$A$5:$L$29,7,FALSE)),""))</f>
        <v/>
      </c>
      <c r="K136" s="9">
        <f>IF(OR(A136="",H136=""),"",ROUND((H136-A136)*1440,0))</f>
        <v/>
      </c>
      <c r="L136" s="8">
        <f>IF(OR(A136="",J136=""),"",IF(H136="",IF(NOW()&gt;J136,"Sans réponse","En cours"),IF(ROUND((H136-J136)*1440,0)&lt;=0,"À temps","En retard")))</f>
        <v/>
      </c>
      <c r="M136" s="6" t="n"/>
      <c r="N136" s="5" t="n"/>
    </row>
    <row r="137">
      <c r="A137" s="11" t="n"/>
      <c r="B137" s="5" t="n"/>
      <c r="C137" s="5" t="n"/>
      <c r="D137" s="5" t="n"/>
      <c r="E137" s="9">
        <f>IF(C137="","",IFERROR(VLOOKUP(C137,'Tableau de routage'!$A$5:$L$29,3,FALSE),""))</f>
        <v/>
      </c>
      <c r="F137" s="9">
        <f>IF(C137="","",IFERROR(VLOOKUP(C137,'Tableau de routage'!$A$5:$L$29,4,FALSE),""))</f>
        <v/>
      </c>
      <c r="G137" s="6" t="n"/>
      <c r="H137" s="11" t="n"/>
      <c r="I137" s="9">
        <f>IF(A137="","",IF(AND(WEEKDAY(A137,2)&lt;=5,COUNTIF('Horaires'!$A$9:$A$38,INT(A137))=0,MOD(A137,1)&gt;='Horaires'!$B$4,MOD(A137,1)&lt;'Horaires'!$B$5),"Oui","Non"))</f>
        <v/>
      </c>
      <c r="J137" s="12">
        <f>IF(OR(A137="",C137=""),"",IFERROR(IF(I137="Oui",A137+VLOOKUP(C137,'Tableau de routage'!$A$5:$L$29,6,FALSE)/1440,IF(AND(WEEKDAY(A137,2)&lt;=5,COUNTIF('Horaires'!$A$9:$A$38,INT(A137))=0,MOD(A137,1)&lt;'Horaires'!$B$4),INT(A137),WORKDAY(INT(A137),1,'Horaires'!$A$9:$A$38))+VLOOKUP(C137,'Tableau de routage'!$A$5:$L$29,7,FALSE)),""))</f>
        <v/>
      </c>
      <c r="K137" s="9">
        <f>IF(OR(A137="",H137=""),"",ROUND((H137-A137)*1440,0))</f>
        <v/>
      </c>
      <c r="L137" s="8">
        <f>IF(OR(A137="",J137=""),"",IF(H137="",IF(NOW()&gt;J137,"Sans réponse","En cours"),IF(ROUND((H137-J137)*1440,0)&lt;=0,"À temps","En retard")))</f>
        <v/>
      </c>
      <c r="M137" s="6" t="n"/>
      <c r="N137" s="5" t="n"/>
    </row>
    <row r="138">
      <c r="A138" s="11" t="n"/>
      <c r="B138" s="5" t="n"/>
      <c r="C138" s="5" t="n"/>
      <c r="D138" s="5" t="n"/>
      <c r="E138" s="9">
        <f>IF(C138="","",IFERROR(VLOOKUP(C138,'Tableau de routage'!$A$5:$L$29,3,FALSE),""))</f>
        <v/>
      </c>
      <c r="F138" s="9">
        <f>IF(C138="","",IFERROR(VLOOKUP(C138,'Tableau de routage'!$A$5:$L$29,4,FALSE),""))</f>
        <v/>
      </c>
      <c r="G138" s="6" t="n"/>
      <c r="H138" s="11" t="n"/>
      <c r="I138" s="9">
        <f>IF(A138="","",IF(AND(WEEKDAY(A138,2)&lt;=5,COUNTIF('Horaires'!$A$9:$A$38,INT(A138))=0,MOD(A138,1)&gt;='Horaires'!$B$4,MOD(A138,1)&lt;'Horaires'!$B$5),"Oui","Non"))</f>
        <v/>
      </c>
      <c r="J138" s="12">
        <f>IF(OR(A138="",C138=""),"",IFERROR(IF(I138="Oui",A138+VLOOKUP(C138,'Tableau de routage'!$A$5:$L$29,6,FALSE)/1440,IF(AND(WEEKDAY(A138,2)&lt;=5,COUNTIF('Horaires'!$A$9:$A$38,INT(A138))=0,MOD(A138,1)&lt;'Horaires'!$B$4),INT(A138),WORKDAY(INT(A138),1,'Horaires'!$A$9:$A$38))+VLOOKUP(C138,'Tableau de routage'!$A$5:$L$29,7,FALSE)),""))</f>
        <v/>
      </c>
      <c r="K138" s="9">
        <f>IF(OR(A138="",H138=""),"",ROUND((H138-A138)*1440,0))</f>
        <v/>
      </c>
      <c r="L138" s="8">
        <f>IF(OR(A138="",J138=""),"",IF(H138="",IF(NOW()&gt;J138,"Sans réponse","En cours"),IF(ROUND((H138-J138)*1440,0)&lt;=0,"À temps","En retard")))</f>
        <v/>
      </c>
      <c r="M138" s="6" t="n"/>
      <c r="N138" s="5" t="n"/>
    </row>
    <row r="139">
      <c r="A139" s="11" t="n"/>
      <c r="B139" s="5" t="n"/>
      <c r="C139" s="5" t="n"/>
      <c r="D139" s="5" t="n"/>
      <c r="E139" s="9">
        <f>IF(C139="","",IFERROR(VLOOKUP(C139,'Tableau de routage'!$A$5:$L$29,3,FALSE),""))</f>
        <v/>
      </c>
      <c r="F139" s="9">
        <f>IF(C139="","",IFERROR(VLOOKUP(C139,'Tableau de routage'!$A$5:$L$29,4,FALSE),""))</f>
        <v/>
      </c>
      <c r="G139" s="6" t="n"/>
      <c r="H139" s="11" t="n"/>
      <c r="I139" s="9">
        <f>IF(A139="","",IF(AND(WEEKDAY(A139,2)&lt;=5,COUNTIF('Horaires'!$A$9:$A$38,INT(A139))=0,MOD(A139,1)&gt;='Horaires'!$B$4,MOD(A139,1)&lt;'Horaires'!$B$5),"Oui","Non"))</f>
        <v/>
      </c>
      <c r="J139" s="12">
        <f>IF(OR(A139="",C139=""),"",IFERROR(IF(I139="Oui",A139+VLOOKUP(C139,'Tableau de routage'!$A$5:$L$29,6,FALSE)/1440,IF(AND(WEEKDAY(A139,2)&lt;=5,COUNTIF('Horaires'!$A$9:$A$38,INT(A139))=0,MOD(A139,1)&lt;'Horaires'!$B$4),INT(A139),WORKDAY(INT(A139),1,'Horaires'!$A$9:$A$38))+VLOOKUP(C139,'Tableau de routage'!$A$5:$L$29,7,FALSE)),""))</f>
        <v/>
      </c>
      <c r="K139" s="9">
        <f>IF(OR(A139="",H139=""),"",ROUND((H139-A139)*1440,0))</f>
        <v/>
      </c>
      <c r="L139" s="8">
        <f>IF(OR(A139="",J139=""),"",IF(H139="",IF(NOW()&gt;J139,"Sans réponse","En cours"),IF(ROUND((H139-J139)*1440,0)&lt;=0,"À temps","En retard")))</f>
        <v/>
      </c>
      <c r="M139" s="6" t="n"/>
      <c r="N139" s="5" t="n"/>
    </row>
    <row r="140">
      <c r="A140" s="11" t="n"/>
      <c r="B140" s="5" t="n"/>
      <c r="C140" s="5" t="n"/>
      <c r="D140" s="5" t="n"/>
      <c r="E140" s="9">
        <f>IF(C140="","",IFERROR(VLOOKUP(C140,'Tableau de routage'!$A$5:$L$29,3,FALSE),""))</f>
        <v/>
      </c>
      <c r="F140" s="9">
        <f>IF(C140="","",IFERROR(VLOOKUP(C140,'Tableau de routage'!$A$5:$L$29,4,FALSE),""))</f>
        <v/>
      </c>
      <c r="G140" s="6" t="n"/>
      <c r="H140" s="11" t="n"/>
      <c r="I140" s="9">
        <f>IF(A140="","",IF(AND(WEEKDAY(A140,2)&lt;=5,COUNTIF('Horaires'!$A$9:$A$38,INT(A140))=0,MOD(A140,1)&gt;='Horaires'!$B$4,MOD(A140,1)&lt;'Horaires'!$B$5),"Oui","Non"))</f>
        <v/>
      </c>
      <c r="J140" s="12">
        <f>IF(OR(A140="",C140=""),"",IFERROR(IF(I140="Oui",A140+VLOOKUP(C140,'Tableau de routage'!$A$5:$L$29,6,FALSE)/1440,IF(AND(WEEKDAY(A140,2)&lt;=5,COUNTIF('Horaires'!$A$9:$A$38,INT(A140))=0,MOD(A140,1)&lt;'Horaires'!$B$4),INT(A140),WORKDAY(INT(A140),1,'Horaires'!$A$9:$A$38))+VLOOKUP(C140,'Tableau de routage'!$A$5:$L$29,7,FALSE)),""))</f>
        <v/>
      </c>
      <c r="K140" s="9">
        <f>IF(OR(A140="",H140=""),"",ROUND((H140-A140)*1440,0))</f>
        <v/>
      </c>
      <c r="L140" s="8">
        <f>IF(OR(A140="",J140=""),"",IF(H140="",IF(NOW()&gt;J140,"Sans réponse","En cours"),IF(ROUND((H140-J140)*1440,0)&lt;=0,"À temps","En retard")))</f>
        <v/>
      </c>
      <c r="M140" s="6" t="n"/>
      <c r="N140" s="5" t="n"/>
    </row>
    <row r="141">
      <c r="A141" s="11" t="n"/>
      <c r="B141" s="5" t="n"/>
      <c r="C141" s="5" t="n"/>
      <c r="D141" s="5" t="n"/>
      <c r="E141" s="9">
        <f>IF(C141="","",IFERROR(VLOOKUP(C141,'Tableau de routage'!$A$5:$L$29,3,FALSE),""))</f>
        <v/>
      </c>
      <c r="F141" s="9">
        <f>IF(C141="","",IFERROR(VLOOKUP(C141,'Tableau de routage'!$A$5:$L$29,4,FALSE),""))</f>
        <v/>
      </c>
      <c r="G141" s="6" t="n"/>
      <c r="H141" s="11" t="n"/>
      <c r="I141" s="9">
        <f>IF(A141="","",IF(AND(WEEKDAY(A141,2)&lt;=5,COUNTIF('Horaires'!$A$9:$A$38,INT(A141))=0,MOD(A141,1)&gt;='Horaires'!$B$4,MOD(A141,1)&lt;'Horaires'!$B$5),"Oui","Non"))</f>
        <v/>
      </c>
      <c r="J141" s="12">
        <f>IF(OR(A141="",C141=""),"",IFERROR(IF(I141="Oui",A141+VLOOKUP(C141,'Tableau de routage'!$A$5:$L$29,6,FALSE)/1440,IF(AND(WEEKDAY(A141,2)&lt;=5,COUNTIF('Horaires'!$A$9:$A$38,INT(A141))=0,MOD(A141,1)&lt;'Horaires'!$B$4),INT(A141),WORKDAY(INT(A141),1,'Horaires'!$A$9:$A$38))+VLOOKUP(C141,'Tableau de routage'!$A$5:$L$29,7,FALSE)),""))</f>
        <v/>
      </c>
      <c r="K141" s="9">
        <f>IF(OR(A141="",H141=""),"",ROUND((H141-A141)*1440,0))</f>
        <v/>
      </c>
      <c r="L141" s="8">
        <f>IF(OR(A141="",J141=""),"",IF(H141="",IF(NOW()&gt;J141,"Sans réponse","En cours"),IF(ROUND((H141-J141)*1440,0)&lt;=0,"À temps","En retard")))</f>
        <v/>
      </c>
      <c r="M141" s="6" t="n"/>
      <c r="N141" s="5" t="n"/>
    </row>
    <row r="142">
      <c r="A142" s="11" t="n"/>
      <c r="B142" s="5" t="n"/>
      <c r="C142" s="5" t="n"/>
      <c r="D142" s="5" t="n"/>
      <c r="E142" s="9">
        <f>IF(C142="","",IFERROR(VLOOKUP(C142,'Tableau de routage'!$A$5:$L$29,3,FALSE),""))</f>
        <v/>
      </c>
      <c r="F142" s="9">
        <f>IF(C142="","",IFERROR(VLOOKUP(C142,'Tableau de routage'!$A$5:$L$29,4,FALSE),""))</f>
        <v/>
      </c>
      <c r="G142" s="6" t="n"/>
      <c r="H142" s="11" t="n"/>
      <c r="I142" s="9">
        <f>IF(A142="","",IF(AND(WEEKDAY(A142,2)&lt;=5,COUNTIF('Horaires'!$A$9:$A$38,INT(A142))=0,MOD(A142,1)&gt;='Horaires'!$B$4,MOD(A142,1)&lt;'Horaires'!$B$5),"Oui","Non"))</f>
        <v/>
      </c>
      <c r="J142" s="12">
        <f>IF(OR(A142="",C142=""),"",IFERROR(IF(I142="Oui",A142+VLOOKUP(C142,'Tableau de routage'!$A$5:$L$29,6,FALSE)/1440,IF(AND(WEEKDAY(A142,2)&lt;=5,COUNTIF('Horaires'!$A$9:$A$38,INT(A142))=0,MOD(A142,1)&lt;'Horaires'!$B$4),INT(A142),WORKDAY(INT(A142),1,'Horaires'!$A$9:$A$38))+VLOOKUP(C142,'Tableau de routage'!$A$5:$L$29,7,FALSE)),""))</f>
        <v/>
      </c>
      <c r="K142" s="9">
        <f>IF(OR(A142="",H142=""),"",ROUND((H142-A142)*1440,0))</f>
        <v/>
      </c>
      <c r="L142" s="8">
        <f>IF(OR(A142="",J142=""),"",IF(H142="",IF(NOW()&gt;J142,"Sans réponse","En cours"),IF(ROUND((H142-J142)*1440,0)&lt;=0,"À temps","En retard")))</f>
        <v/>
      </c>
      <c r="M142" s="6" t="n"/>
      <c r="N142" s="5" t="n"/>
    </row>
    <row r="143">
      <c r="A143" s="11" t="n"/>
      <c r="B143" s="5" t="n"/>
      <c r="C143" s="5" t="n"/>
      <c r="D143" s="5" t="n"/>
      <c r="E143" s="9">
        <f>IF(C143="","",IFERROR(VLOOKUP(C143,'Tableau de routage'!$A$5:$L$29,3,FALSE),""))</f>
        <v/>
      </c>
      <c r="F143" s="9">
        <f>IF(C143="","",IFERROR(VLOOKUP(C143,'Tableau de routage'!$A$5:$L$29,4,FALSE),""))</f>
        <v/>
      </c>
      <c r="G143" s="6" t="n"/>
      <c r="H143" s="11" t="n"/>
      <c r="I143" s="9">
        <f>IF(A143="","",IF(AND(WEEKDAY(A143,2)&lt;=5,COUNTIF('Horaires'!$A$9:$A$38,INT(A143))=0,MOD(A143,1)&gt;='Horaires'!$B$4,MOD(A143,1)&lt;'Horaires'!$B$5),"Oui","Non"))</f>
        <v/>
      </c>
      <c r="J143" s="12">
        <f>IF(OR(A143="",C143=""),"",IFERROR(IF(I143="Oui",A143+VLOOKUP(C143,'Tableau de routage'!$A$5:$L$29,6,FALSE)/1440,IF(AND(WEEKDAY(A143,2)&lt;=5,COUNTIF('Horaires'!$A$9:$A$38,INT(A143))=0,MOD(A143,1)&lt;'Horaires'!$B$4),INT(A143),WORKDAY(INT(A143),1,'Horaires'!$A$9:$A$38))+VLOOKUP(C143,'Tableau de routage'!$A$5:$L$29,7,FALSE)),""))</f>
        <v/>
      </c>
      <c r="K143" s="9">
        <f>IF(OR(A143="",H143=""),"",ROUND((H143-A143)*1440,0))</f>
        <v/>
      </c>
      <c r="L143" s="8">
        <f>IF(OR(A143="",J143=""),"",IF(H143="",IF(NOW()&gt;J143,"Sans réponse","En cours"),IF(ROUND((H143-J143)*1440,0)&lt;=0,"À temps","En retard")))</f>
        <v/>
      </c>
      <c r="M143" s="6" t="n"/>
      <c r="N143" s="5" t="n"/>
    </row>
    <row r="144">
      <c r="A144" s="11" t="n"/>
      <c r="B144" s="5" t="n"/>
      <c r="C144" s="5" t="n"/>
      <c r="D144" s="5" t="n"/>
      <c r="E144" s="9">
        <f>IF(C144="","",IFERROR(VLOOKUP(C144,'Tableau de routage'!$A$5:$L$29,3,FALSE),""))</f>
        <v/>
      </c>
      <c r="F144" s="9">
        <f>IF(C144="","",IFERROR(VLOOKUP(C144,'Tableau de routage'!$A$5:$L$29,4,FALSE),""))</f>
        <v/>
      </c>
      <c r="G144" s="6" t="n"/>
      <c r="H144" s="11" t="n"/>
      <c r="I144" s="9">
        <f>IF(A144="","",IF(AND(WEEKDAY(A144,2)&lt;=5,COUNTIF('Horaires'!$A$9:$A$38,INT(A144))=0,MOD(A144,1)&gt;='Horaires'!$B$4,MOD(A144,1)&lt;'Horaires'!$B$5),"Oui","Non"))</f>
        <v/>
      </c>
      <c r="J144" s="12">
        <f>IF(OR(A144="",C144=""),"",IFERROR(IF(I144="Oui",A144+VLOOKUP(C144,'Tableau de routage'!$A$5:$L$29,6,FALSE)/1440,IF(AND(WEEKDAY(A144,2)&lt;=5,COUNTIF('Horaires'!$A$9:$A$38,INT(A144))=0,MOD(A144,1)&lt;'Horaires'!$B$4),INT(A144),WORKDAY(INT(A144),1,'Horaires'!$A$9:$A$38))+VLOOKUP(C144,'Tableau de routage'!$A$5:$L$29,7,FALSE)),""))</f>
        <v/>
      </c>
      <c r="K144" s="9">
        <f>IF(OR(A144="",H144=""),"",ROUND((H144-A144)*1440,0))</f>
        <v/>
      </c>
      <c r="L144" s="8">
        <f>IF(OR(A144="",J144=""),"",IF(H144="",IF(NOW()&gt;J144,"Sans réponse","En cours"),IF(ROUND((H144-J144)*1440,0)&lt;=0,"À temps","En retard")))</f>
        <v/>
      </c>
      <c r="M144" s="6" t="n"/>
      <c r="N144" s="5" t="n"/>
    </row>
    <row r="145">
      <c r="A145" s="11" t="n"/>
      <c r="B145" s="5" t="n"/>
      <c r="C145" s="5" t="n"/>
      <c r="D145" s="5" t="n"/>
      <c r="E145" s="9">
        <f>IF(C145="","",IFERROR(VLOOKUP(C145,'Tableau de routage'!$A$5:$L$29,3,FALSE),""))</f>
        <v/>
      </c>
      <c r="F145" s="9">
        <f>IF(C145="","",IFERROR(VLOOKUP(C145,'Tableau de routage'!$A$5:$L$29,4,FALSE),""))</f>
        <v/>
      </c>
      <c r="G145" s="6" t="n"/>
      <c r="H145" s="11" t="n"/>
      <c r="I145" s="9">
        <f>IF(A145="","",IF(AND(WEEKDAY(A145,2)&lt;=5,COUNTIF('Horaires'!$A$9:$A$38,INT(A145))=0,MOD(A145,1)&gt;='Horaires'!$B$4,MOD(A145,1)&lt;'Horaires'!$B$5),"Oui","Non"))</f>
        <v/>
      </c>
      <c r="J145" s="12">
        <f>IF(OR(A145="",C145=""),"",IFERROR(IF(I145="Oui",A145+VLOOKUP(C145,'Tableau de routage'!$A$5:$L$29,6,FALSE)/1440,IF(AND(WEEKDAY(A145,2)&lt;=5,COUNTIF('Horaires'!$A$9:$A$38,INT(A145))=0,MOD(A145,1)&lt;'Horaires'!$B$4),INT(A145),WORKDAY(INT(A145),1,'Horaires'!$A$9:$A$38))+VLOOKUP(C145,'Tableau de routage'!$A$5:$L$29,7,FALSE)),""))</f>
        <v/>
      </c>
      <c r="K145" s="9">
        <f>IF(OR(A145="",H145=""),"",ROUND((H145-A145)*1440,0))</f>
        <v/>
      </c>
      <c r="L145" s="8">
        <f>IF(OR(A145="",J145=""),"",IF(H145="",IF(NOW()&gt;J145,"Sans réponse","En cours"),IF(ROUND((H145-J145)*1440,0)&lt;=0,"À temps","En retard")))</f>
        <v/>
      </c>
      <c r="M145" s="6" t="n"/>
      <c r="N145" s="5" t="n"/>
    </row>
    <row r="146">
      <c r="A146" s="11" t="n"/>
      <c r="B146" s="5" t="n"/>
      <c r="C146" s="5" t="n"/>
      <c r="D146" s="5" t="n"/>
      <c r="E146" s="9">
        <f>IF(C146="","",IFERROR(VLOOKUP(C146,'Tableau de routage'!$A$5:$L$29,3,FALSE),""))</f>
        <v/>
      </c>
      <c r="F146" s="9">
        <f>IF(C146="","",IFERROR(VLOOKUP(C146,'Tableau de routage'!$A$5:$L$29,4,FALSE),""))</f>
        <v/>
      </c>
      <c r="G146" s="6" t="n"/>
      <c r="H146" s="11" t="n"/>
      <c r="I146" s="9">
        <f>IF(A146="","",IF(AND(WEEKDAY(A146,2)&lt;=5,COUNTIF('Horaires'!$A$9:$A$38,INT(A146))=0,MOD(A146,1)&gt;='Horaires'!$B$4,MOD(A146,1)&lt;'Horaires'!$B$5),"Oui","Non"))</f>
        <v/>
      </c>
      <c r="J146" s="12">
        <f>IF(OR(A146="",C146=""),"",IFERROR(IF(I146="Oui",A146+VLOOKUP(C146,'Tableau de routage'!$A$5:$L$29,6,FALSE)/1440,IF(AND(WEEKDAY(A146,2)&lt;=5,COUNTIF('Horaires'!$A$9:$A$38,INT(A146))=0,MOD(A146,1)&lt;'Horaires'!$B$4),INT(A146),WORKDAY(INT(A146),1,'Horaires'!$A$9:$A$38))+VLOOKUP(C146,'Tableau de routage'!$A$5:$L$29,7,FALSE)),""))</f>
        <v/>
      </c>
      <c r="K146" s="9">
        <f>IF(OR(A146="",H146=""),"",ROUND((H146-A146)*1440,0))</f>
        <v/>
      </c>
      <c r="L146" s="8">
        <f>IF(OR(A146="",J146=""),"",IF(H146="",IF(NOW()&gt;J146,"Sans réponse","En cours"),IF(ROUND((H146-J146)*1440,0)&lt;=0,"À temps","En retard")))</f>
        <v/>
      </c>
      <c r="M146" s="6" t="n"/>
      <c r="N146" s="5" t="n"/>
    </row>
    <row r="147">
      <c r="A147" s="11" t="n"/>
      <c r="B147" s="5" t="n"/>
      <c r="C147" s="5" t="n"/>
      <c r="D147" s="5" t="n"/>
      <c r="E147" s="9">
        <f>IF(C147="","",IFERROR(VLOOKUP(C147,'Tableau de routage'!$A$5:$L$29,3,FALSE),""))</f>
        <v/>
      </c>
      <c r="F147" s="9">
        <f>IF(C147="","",IFERROR(VLOOKUP(C147,'Tableau de routage'!$A$5:$L$29,4,FALSE),""))</f>
        <v/>
      </c>
      <c r="G147" s="6" t="n"/>
      <c r="H147" s="11" t="n"/>
      <c r="I147" s="9">
        <f>IF(A147="","",IF(AND(WEEKDAY(A147,2)&lt;=5,COUNTIF('Horaires'!$A$9:$A$38,INT(A147))=0,MOD(A147,1)&gt;='Horaires'!$B$4,MOD(A147,1)&lt;'Horaires'!$B$5),"Oui","Non"))</f>
        <v/>
      </c>
      <c r="J147" s="12">
        <f>IF(OR(A147="",C147=""),"",IFERROR(IF(I147="Oui",A147+VLOOKUP(C147,'Tableau de routage'!$A$5:$L$29,6,FALSE)/1440,IF(AND(WEEKDAY(A147,2)&lt;=5,COUNTIF('Horaires'!$A$9:$A$38,INT(A147))=0,MOD(A147,1)&lt;'Horaires'!$B$4),INT(A147),WORKDAY(INT(A147),1,'Horaires'!$A$9:$A$38))+VLOOKUP(C147,'Tableau de routage'!$A$5:$L$29,7,FALSE)),""))</f>
        <v/>
      </c>
      <c r="K147" s="9">
        <f>IF(OR(A147="",H147=""),"",ROUND((H147-A147)*1440,0))</f>
        <v/>
      </c>
      <c r="L147" s="8">
        <f>IF(OR(A147="",J147=""),"",IF(H147="",IF(NOW()&gt;J147,"Sans réponse","En cours"),IF(ROUND((H147-J147)*1440,0)&lt;=0,"À temps","En retard")))</f>
        <v/>
      </c>
      <c r="M147" s="6" t="n"/>
      <c r="N147" s="5" t="n"/>
    </row>
    <row r="148">
      <c r="A148" s="11" t="n"/>
      <c r="B148" s="5" t="n"/>
      <c r="C148" s="5" t="n"/>
      <c r="D148" s="5" t="n"/>
      <c r="E148" s="9">
        <f>IF(C148="","",IFERROR(VLOOKUP(C148,'Tableau de routage'!$A$5:$L$29,3,FALSE),""))</f>
        <v/>
      </c>
      <c r="F148" s="9">
        <f>IF(C148="","",IFERROR(VLOOKUP(C148,'Tableau de routage'!$A$5:$L$29,4,FALSE),""))</f>
        <v/>
      </c>
      <c r="G148" s="6" t="n"/>
      <c r="H148" s="11" t="n"/>
      <c r="I148" s="9">
        <f>IF(A148="","",IF(AND(WEEKDAY(A148,2)&lt;=5,COUNTIF('Horaires'!$A$9:$A$38,INT(A148))=0,MOD(A148,1)&gt;='Horaires'!$B$4,MOD(A148,1)&lt;'Horaires'!$B$5),"Oui","Non"))</f>
        <v/>
      </c>
      <c r="J148" s="12">
        <f>IF(OR(A148="",C148=""),"",IFERROR(IF(I148="Oui",A148+VLOOKUP(C148,'Tableau de routage'!$A$5:$L$29,6,FALSE)/1440,IF(AND(WEEKDAY(A148,2)&lt;=5,COUNTIF('Horaires'!$A$9:$A$38,INT(A148))=0,MOD(A148,1)&lt;'Horaires'!$B$4),INT(A148),WORKDAY(INT(A148),1,'Horaires'!$A$9:$A$38))+VLOOKUP(C148,'Tableau de routage'!$A$5:$L$29,7,FALSE)),""))</f>
        <v/>
      </c>
      <c r="K148" s="9">
        <f>IF(OR(A148="",H148=""),"",ROUND((H148-A148)*1440,0))</f>
        <v/>
      </c>
      <c r="L148" s="8">
        <f>IF(OR(A148="",J148=""),"",IF(H148="",IF(NOW()&gt;J148,"Sans réponse","En cours"),IF(ROUND((H148-J148)*1440,0)&lt;=0,"À temps","En retard")))</f>
        <v/>
      </c>
      <c r="M148" s="6" t="n"/>
      <c r="N148" s="5" t="n"/>
    </row>
    <row r="149">
      <c r="A149" s="11" t="n"/>
      <c r="B149" s="5" t="n"/>
      <c r="C149" s="5" t="n"/>
      <c r="D149" s="5" t="n"/>
      <c r="E149" s="9">
        <f>IF(C149="","",IFERROR(VLOOKUP(C149,'Tableau de routage'!$A$5:$L$29,3,FALSE),""))</f>
        <v/>
      </c>
      <c r="F149" s="9">
        <f>IF(C149="","",IFERROR(VLOOKUP(C149,'Tableau de routage'!$A$5:$L$29,4,FALSE),""))</f>
        <v/>
      </c>
      <c r="G149" s="6" t="n"/>
      <c r="H149" s="11" t="n"/>
      <c r="I149" s="9">
        <f>IF(A149="","",IF(AND(WEEKDAY(A149,2)&lt;=5,COUNTIF('Horaires'!$A$9:$A$38,INT(A149))=0,MOD(A149,1)&gt;='Horaires'!$B$4,MOD(A149,1)&lt;'Horaires'!$B$5),"Oui","Non"))</f>
        <v/>
      </c>
      <c r="J149" s="12">
        <f>IF(OR(A149="",C149=""),"",IFERROR(IF(I149="Oui",A149+VLOOKUP(C149,'Tableau de routage'!$A$5:$L$29,6,FALSE)/1440,IF(AND(WEEKDAY(A149,2)&lt;=5,COUNTIF('Horaires'!$A$9:$A$38,INT(A149))=0,MOD(A149,1)&lt;'Horaires'!$B$4),INT(A149),WORKDAY(INT(A149),1,'Horaires'!$A$9:$A$38))+VLOOKUP(C149,'Tableau de routage'!$A$5:$L$29,7,FALSE)),""))</f>
        <v/>
      </c>
      <c r="K149" s="9">
        <f>IF(OR(A149="",H149=""),"",ROUND((H149-A149)*1440,0))</f>
        <v/>
      </c>
      <c r="L149" s="8">
        <f>IF(OR(A149="",J149=""),"",IF(H149="",IF(NOW()&gt;J149,"Sans réponse","En cours"),IF(ROUND((H149-J149)*1440,0)&lt;=0,"À temps","En retard")))</f>
        <v/>
      </c>
      <c r="M149" s="6" t="n"/>
      <c r="N149" s="5" t="n"/>
    </row>
    <row r="150">
      <c r="A150" s="11" t="n"/>
      <c r="B150" s="5" t="n"/>
      <c r="C150" s="5" t="n"/>
      <c r="D150" s="5" t="n"/>
      <c r="E150" s="9">
        <f>IF(C150="","",IFERROR(VLOOKUP(C150,'Tableau de routage'!$A$5:$L$29,3,FALSE),""))</f>
        <v/>
      </c>
      <c r="F150" s="9">
        <f>IF(C150="","",IFERROR(VLOOKUP(C150,'Tableau de routage'!$A$5:$L$29,4,FALSE),""))</f>
        <v/>
      </c>
      <c r="G150" s="6" t="n"/>
      <c r="H150" s="11" t="n"/>
      <c r="I150" s="9">
        <f>IF(A150="","",IF(AND(WEEKDAY(A150,2)&lt;=5,COUNTIF('Horaires'!$A$9:$A$38,INT(A150))=0,MOD(A150,1)&gt;='Horaires'!$B$4,MOD(A150,1)&lt;'Horaires'!$B$5),"Oui","Non"))</f>
        <v/>
      </c>
      <c r="J150" s="12">
        <f>IF(OR(A150="",C150=""),"",IFERROR(IF(I150="Oui",A150+VLOOKUP(C150,'Tableau de routage'!$A$5:$L$29,6,FALSE)/1440,IF(AND(WEEKDAY(A150,2)&lt;=5,COUNTIF('Horaires'!$A$9:$A$38,INT(A150))=0,MOD(A150,1)&lt;'Horaires'!$B$4),INT(A150),WORKDAY(INT(A150),1,'Horaires'!$A$9:$A$38))+VLOOKUP(C150,'Tableau de routage'!$A$5:$L$29,7,FALSE)),""))</f>
        <v/>
      </c>
      <c r="K150" s="9">
        <f>IF(OR(A150="",H150=""),"",ROUND((H150-A150)*1440,0))</f>
        <v/>
      </c>
      <c r="L150" s="8">
        <f>IF(OR(A150="",J150=""),"",IF(H150="",IF(NOW()&gt;J150,"Sans réponse","En cours"),IF(ROUND((H150-J150)*1440,0)&lt;=0,"À temps","En retard")))</f>
        <v/>
      </c>
      <c r="M150" s="6" t="n"/>
      <c r="N150" s="5" t="n"/>
    </row>
    <row r="151">
      <c r="A151" s="11" t="n"/>
      <c r="B151" s="5" t="n"/>
      <c r="C151" s="5" t="n"/>
      <c r="D151" s="5" t="n"/>
      <c r="E151" s="9">
        <f>IF(C151="","",IFERROR(VLOOKUP(C151,'Tableau de routage'!$A$5:$L$29,3,FALSE),""))</f>
        <v/>
      </c>
      <c r="F151" s="9">
        <f>IF(C151="","",IFERROR(VLOOKUP(C151,'Tableau de routage'!$A$5:$L$29,4,FALSE),""))</f>
        <v/>
      </c>
      <c r="G151" s="6" t="n"/>
      <c r="H151" s="11" t="n"/>
      <c r="I151" s="9">
        <f>IF(A151="","",IF(AND(WEEKDAY(A151,2)&lt;=5,COUNTIF('Horaires'!$A$9:$A$38,INT(A151))=0,MOD(A151,1)&gt;='Horaires'!$B$4,MOD(A151,1)&lt;'Horaires'!$B$5),"Oui","Non"))</f>
        <v/>
      </c>
      <c r="J151" s="12">
        <f>IF(OR(A151="",C151=""),"",IFERROR(IF(I151="Oui",A151+VLOOKUP(C151,'Tableau de routage'!$A$5:$L$29,6,FALSE)/1440,IF(AND(WEEKDAY(A151,2)&lt;=5,COUNTIF('Horaires'!$A$9:$A$38,INT(A151))=0,MOD(A151,1)&lt;'Horaires'!$B$4),INT(A151),WORKDAY(INT(A151),1,'Horaires'!$A$9:$A$38))+VLOOKUP(C151,'Tableau de routage'!$A$5:$L$29,7,FALSE)),""))</f>
        <v/>
      </c>
      <c r="K151" s="9">
        <f>IF(OR(A151="",H151=""),"",ROUND((H151-A151)*1440,0))</f>
        <v/>
      </c>
      <c r="L151" s="8">
        <f>IF(OR(A151="",J151=""),"",IF(H151="",IF(NOW()&gt;J151,"Sans réponse","En cours"),IF(ROUND((H151-J151)*1440,0)&lt;=0,"À temps","En retard")))</f>
        <v/>
      </c>
      <c r="M151" s="6" t="n"/>
      <c r="N151" s="5" t="n"/>
    </row>
    <row r="152">
      <c r="A152" s="11" t="n"/>
      <c r="B152" s="5" t="n"/>
      <c r="C152" s="5" t="n"/>
      <c r="D152" s="5" t="n"/>
      <c r="E152" s="9">
        <f>IF(C152="","",IFERROR(VLOOKUP(C152,'Tableau de routage'!$A$5:$L$29,3,FALSE),""))</f>
        <v/>
      </c>
      <c r="F152" s="9">
        <f>IF(C152="","",IFERROR(VLOOKUP(C152,'Tableau de routage'!$A$5:$L$29,4,FALSE),""))</f>
        <v/>
      </c>
      <c r="G152" s="6" t="n"/>
      <c r="H152" s="11" t="n"/>
      <c r="I152" s="9">
        <f>IF(A152="","",IF(AND(WEEKDAY(A152,2)&lt;=5,COUNTIF('Horaires'!$A$9:$A$38,INT(A152))=0,MOD(A152,1)&gt;='Horaires'!$B$4,MOD(A152,1)&lt;'Horaires'!$B$5),"Oui","Non"))</f>
        <v/>
      </c>
      <c r="J152" s="12">
        <f>IF(OR(A152="",C152=""),"",IFERROR(IF(I152="Oui",A152+VLOOKUP(C152,'Tableau de routage'!$A$5:$L$29,6,FALSE)/1440,IF(AND(WEEKDAY(A152,2)&lt;=5,COUNTIF('Horaires'!$A$9:$A$38,INT(A152))=0,MOD(A152,1)&lt;'Horaires'!$B$4),INT(A152),WORKDAY(INT(A152),1,'Horaires'!$A$9:$A$38))+VLOOKUP(C152,'Tableau de routage'!$A$5:$L$29,7,FALSE)),""))</f>
        <v/>
      </c>
      <c r="K152" s="9">
        <f>IF(OR(A152="",H152=""),"",ROUND((H152-A152)*1440,0))</f>
        <v/>
      </c>
      <c r="L152" s="8">
        <f>IF(OR(A152="",J152=""),"",IF(H152="",IF(NOW()&gt;J152,"Sans réponse","En cours"),IF(ROUND((H152-J152)*1440,0)&lt;=0,"À temps","En retard")))</f>
        <v/>
      </c>
      <c r="M152" s="6" t="n"/>
      <c r="N152" s="5" t="n"/>
    </row>
    <row r="153">
      <c r="A153" s="11" t="n"/>
      <c r="B153" s="5" t="n"/>
      <c r="C153" s="5" t="n"/>
      <c r="D153" s="5" t="n"/>
      <c r="E153" s="9">
        <f>IF(C153="","",IFERROR(VLOOKUP(C153,'Tableau de routage'!$A$5:$L$29,3,FALSE),""))</f>
        <v/>
      </c>
      <c r="F153" s="9">
        <f>IF(C153="","",IFERROR(VLOOKUP(C153,'Tableau de routage'!$A$5:$L$29,4,FALSE),""))</f>
        <v/>
      </c>
      <c r="G153" s="6" t="n"/>
      <c r="H153" s="11" t="n"/>
      <c r="I153" s="9">
        <f>IF(A153="","",IF(AND(WEEKDAY(A153,2)&lt;=5,COUNTIF('Horaires'!$A$9:$A$38,INT(A153))=0,MOD(A153,1)&gt;='Horaires'!$B$4,MOD(A153,1)&lt;'Horaires'!$B$5),"Oui","Non"))</f>
        <v/>
      </c>
      <c r="J153" s="12">
        <f>IF(OR(A153="",C153=""),"",IFERROR(IF(I153="Oui",A153+VLOOKUP(C153,'Tableau de routage'!$A$5:$L$29,6,FALSE)/1440,IF(AND(WEEKDAY(A153,2)&lt;=5,COUNTIF('Horaires'!$A$9:$A$38,INT(A153))=0,MOD(A153,1)&lt;'Horaires'!$B$4),INT(A153),WORKDAY(INT(A153),1,'Horaires'!$A$9:$A$38))+VLOOKUP(C153,'Tableau de routage'!$A$5:$L$29,7,FALSE)),""))</f>
        <v/>
      </c>
      <c r="K153" s="9">
        <f>IF(OR(A153="",H153=""),"",ROUND((H153-A153)*1440,0))</f>
        <v/>
      </c>
      <c r="L153" s="8">
        <f>IF(OR(A153="",J153=""),"",IF(H153="",IF(NOW()&gt;J153,"Sans réponse","En cours"),IF(ROUND((H153-J153)*1440,0)&lt;=0,"À temps","En retard")))</f>
        <v/>
      </c>
      <c r="M153" s="6" t="n"/>
      <c r="N153" s="5" t="n"/>
    </row>
    <row r="154">
      <c r="A154" s="11" t="n"/>
      <c r="B154" s="5" t="n"/>
      <c r="C154" s="5" t="n"/>
      <c r="D154" s="5" t="n"/>
      <c r="E154" s="9">
        <f>IF(C154="","",IFERROR(VLOOKUP(C154,'Tableau de routage'!$A$5:$L$29,3,FALSE),""))</f>
        <v/>
      </c>
      <c r="F154" s="9">
        <f>IF(C154="","",IFERROR(VLOOKUP(C154,'Tableau de routage'!$A$5:$L$29,4,FALSE),""))</f>
        <v/>
      </c>
      <c r="G154" s="6" t="n"/>
      <c r="H154" s="11" t="n"/>
      <c r="I154" s="9">
        <f>IF(A154="","",IF(AND(WEEKDAY(A154,2)&lt;=5,COUNTIF('Horaires'!$A$9:$A$38,INT(A154))=0,MOD(A154,1)&gt;='Horaires'!$B$4,MOD(A154,1)&lt;'Horaires'!$B$5),"Oui","Non"))</f>
        <v/>
      </c>
      <c r="J154" s="12">
        <f>IF(OR(A154="",C154=""),"",IFERROR(IF(I154="Oui",A154+VLOOKUP(C154,'Tableau de routage'!$A$5:$L$29,6,FALSE)/1440,IF(AND(WEEKDAY(A154,2)&lt;=5,COUNTIF('Horaires'!$A$9:$A$38,INT(A154))=0,MOD(A154,1)&lt;'Horaires'!$B$4),INT(A154),WORKDAY(INT(A154),1,'Horaires'!$A$9:$A$38))+VLOOKUP(C154,'Tableau de routage'!$A$5:$L$29,7,FALSE)),""))</f>
        <v/>
      </c>
      <c r="K154" s="9">
        <f>IF(OR(A154="",H154=""),"",ROUND((H154-A154)*1440,0))</f>
        <v/>
      </c>
      <c r="L154" s="8">
        <f>IF(OR(A154="",J154=""),"",IF(H154="",IF(NOW()&gt;J154,"Sans réponse","En cours"),IF(ROUND((H154-J154)*1440,0)&lt;=0,"À temps","En retard")))</f>
        <v/>
      </c>
      <c r="M154" s="6" t="n"/>
      <c r="N154" s="5" t="n"/>
    </row>
    <row r="155">
      <c r="A155" s="11" t="n"/>
      <c r="B155" s="5" t="n"/>
      <c r="C155" s="5" t="n"/>
      <c r="D155" s="5" t="n"/>
      <c r="E155" s="9">
        <f>IF(C155="","",IFERROR(VLOOKUP(C155,'Tableau de routage'!$A$5:$L$29,3,FALSE),""))</f>
        <v/>
      </c>
      <c r="F155" s="9">
        <f>IF(C155="","",IFERROR(VLOOKUP(C155,'Tableau de routage'!$A$5:$L$29,4,FALSE),""))</f>
        <v/>
      </c>
      <c r="G155" s="6" t="n"/>
      <c r="H155" s="11" t="n"/>
      <c r="I155" s="9">
        <f>IF(A155="","",IF(AND(WEEKDAY(A155,2)&lt;=5,COUNTIF('Horaires'!$A$9:$A$38,INT(A155))=0,MOD(A155,1)&gt;='Horaires'!$B$4,MOD(A155,1)&lt;'Horaires'!$B$5),"Oui","Non"))</f>
        <v/>
      </c>
      <c r="J155" s="12">
        <f>IF(OR(A155="",C155=""),"",IFERROR(IF(I155="Oui",A155+VLOOKUP(C155,'Tableau de routage'!$A$5:$L$29,6,FALSE)/1440,IF(AND(WEEKDAY(A155,2)&lt;=5,COUNTIF('Horaires'!$A$9:$A$38,INT(A155))=0,MOD(A155,1)&lt;'Horaires'!$B$4),INT(A155),WORKDAY(INT(A155),1,'Horaires'!$A$9:$A$38))+VLOOKUP(C155,'Tableau de routage'!$A$5:$L$29,7,FALSE)),""))</f>
        <v/>
      </c>
      <c r="K155" s="9">
        <f>IF(OR(A155="",H155=""),"",ROUND((H155-A155)*1440,0))</f>
        <v/>
      </c>
      <c r="L155" s="8">
        <f>IF(OR(A155="",J155=""),"",IF(H155="",IF(NOW()&gt;J155,"Sans réponse","En cours"),IF(ROUND((H155-J155)*1440,0)&lt;=0,"À temps","En retard")))</f>
        <v/>
      </c>
      <c r="M155" s="6" t="n"/>
      <c r="N155" s="5" t="n"/>
    </row>
    <row r="156">
      <c r="A156" s="11" t="n"/>
      <c r="B156" s="5" t="n"/>
      <c r="C156" s="5" t="n"/>
      <c r="D156" s="5" t="n"/>
      <c r="E156" s="9">
        <f>IF(C156="","",IFERROR(VLOOKUP(C156,'Tableau de routage'!$A$5:$L$29,3,FALSE),""))</f>
        <v/>
      </c>
      <c r="F156" s="9">
        <f>IF(C156="","",IFERROR(VLOOKUP(C156,'Tableau de routage'!$A$5:$L$29,4,FALSE),""))</f>
        <v/>
      </c>
      <c r="G156" s="6" t="n"/>
      <c r="H156" s="11" t="n"/>
      <c r="I156" s="9">
        <f>IF(A156="","",IF(AND(WEEKDAY(A156,2)&lt;=5,COUNTIF('Horaires'!$A$9:$A$38,INT(A156))=0,MOD(A156,1)&gt;='Horaires'!$B$4,MOD(A156,1)&lt;'Horaires'!$B$5),"Oui","Non"))</f>
        <v/>
      </c>
      <c r="J156" s="12">
        <f>IF(OR(A156="",C156=""),"",IFERROR(IF(I156="Oui",A156+VLOOKUP(C156,'Tableau de routage'!$A$5:$L$29,6,FALSE)/1440,IF(AND(WEEKDAY(A156,2)&lt;=5,COUNTIF('Horaires'!$A$9:$A$38,INT(A156))=0,MOD(A156,1)&lt;'Horaires'!$B$4),INT(A156),WORKDAY(INT(A156),1,'Horaires'!$A$9:$A$38))+VLOOKUP(C156,'Tableau de routage'!$A$5:$L$29,7,FALSE)),""))</f>
        <v/>
      </c>
      <c r="K156" s="9">
        <f>IF(OR(A156="",H156=""),"",ROUND((H156-A156)*1440,0))</f>
        <v/>
      </c>
      <c r="L156" s="8">
        <f>IF(OR(A156="",J156=""),"",IF(H156="",IF(NOW()&gt;J156,"Sans réponse","En cours"),IF(ROUND((H156-J156)*1440,0)&lt;=0,"À temps","En retard")))</f>
        <v/>
      </c>
      <c r="M156" s="6" t="n"/>
      <c r="N156" s="5" t="n"/>
    </row>
    <row r="157">
      <c r="A157" s="11" t="n"/>
      <c r="B157" s="5" t="n"/>
      <c r="C157" s="5" t="n"/>
      <c r="D157" s="5" t="n"/>
      <c r="E157" s="9">
        <f>IF(C157="","",IFERROR(VLOOKUP(C157,'Tableau de routage'!$A$5:$L$29,3,FALSE),""))</f>
        <v/>
      </c>
      <c r="F157" s="9">
        <f>IF(C157="","",IFERROR(VLOOKUP(C157,'Tableau de routage'!$A$5:$L$29,4,FALSE),""))</f>
        <v/>
      </c>
      <c r="G157" s="6" t="n"/>
      <c r="H157" s="11" t="n"/>
      <c r="I157" s="9">
        <f>IF(A157="","",IF(AND(WEEKDAY(A157,2)&lt;=5,COUNTIF('Horaires'!$A$9:$A$38,INT(A157))=0,MOD(A157,1)&gt;='Horaires'!$B$4,MOD(A157,1)&lt;'Horaires'!$B$5),"Oui","Non"))</f>
        <v/>
      </c>
      <c r="J157" s="12">
        <f>IF(OR(A157="",C157=""),"",IFERROR(IF(I157="Oui",A157+VLOOKUP(C157,'Tableau de routage'!$A$5:$L$29,6,FALSE)/1440,IF(AND(WEEKDAY(A157,2)&lt;=5,COUNTIF('Horaires'!$A$9:$A$38,INT(A157))=0,MOD(A157,1)&lt;'Horaires'!$B$4),INT(A157),WORKDAY(INT(A157),1,'Horaires'!$A$9:$A$38))+VLOOKUP(C157,'Tableau de routage'!$A$5:$L$29,7,FALSE)),""))</f>
        <v/>
      </c>
      <c r="K157" s="9">
        <f>IF(OR(A157="",H157=""),"",ROUND((H157-A157)*1440,0))</f>
        <v/>
      </c>
      <c r="L157" s="8">
        <f>IF(OR(A157="",J157=""),"",IF(H157="",IF(NOW()&gt;J157,"Sans réponse","En cours"),IF(ROUND((H157-J157)*1440,0)&lt;=0,"À temps","En retard")))</f>
        <v/>
      </c>
      <c r="M157" s="6" t="n"/>
      <c r="N157" s="5" t="n"/>
    </row>
    <row r="158">
      <c r="A158" s="11" t="n"/>
      <c r="B158" s="5" t="n"/>
      <c r="C158" s="5" t="n"/>
      <c r="D158" s="5" t="n"/>
      <c r="E158" s="9">
        <f>IF(C158="","",IFERROR(VLOOKUP(C158,'Tableau de routage'!$A$5:$L$29,3,FALSE),""))</f>
        <v/>
      </c>
      <c r="F158" s="9">
        <f>IF(C158="","",IFERROR(VLOOKUP(C158,'Tableau de routage'!$A$5:$L$29,4,FALSE),""))</f>
        <v/>
      </c>
      <c r="G158" s="6" t="n"/>
      <c r="H158" s="11" t="n"/>
      <c r="I158" s="9">
        <f>IF(A158="","",IF(AND(WEEKDAY(A158,2)&lt;=5,COUNTIF('Horaires'!$A$9:$A$38,INT(A158))=0,MOD(A158,1)&gt;='Horaires'!$B$4,MOD(A158,1)&lt;'Horaires'!$B$5),"Oui","Non"))</f>
        <v/>
      </c>
      <c r="J158" s="12">
        <f>IF(OR(A158="",C158=""),"",IFERROR(IF(I158="Oui",A158+VLOOKUP(C158,'Tableau de routage'!$A$5:$L$29,6,FALSE)/1440,IF(AND(WEEKDAY(A158,2)&lt;=5,COUNTIF('Horaires'!$A$9:$A$38,INT(A158))=0,MOD(A158,1)&lt;'Horaires'!$B$4),INT(A158),WORKDAY(INT(A158),1,'Horaires'!$A$9:$A$38))+VLOOKUP(C158,'Tableau de routage'!$A$5:$L$29,7,FALSE)),""))</f>
        <v/>
      </c>
      <c r="K158" s="9">
        <f>IF(OR(A158="",H158=""),"",ROUND((H158-A158)*1440,0))</f>
        <v/>
      </c>
      <c r="L158" s="8">
        <f>IF(OR(A158="",J158=""),"",IF(H158="",IF(NOW()&gt;J158,"Sans réponse","En cours"),IF(ROUND((H158-J158)*1440,0)&lt;=0,"À temps","En retard")))</f>
        <v/>
      </c>
      <c r="M158" s="6" t="n"/>
      <c r="N158" s="5" t="n"/>
    </row>
    <row r="159">
      <c r="A159" s="11" t="n"/>
      <c r="B159" s="5" t="n"/>
      <c r="C159" s="5" t="n"/>
      <c r="D159" s="5" t="n"/>
      <c r="E159" s="9">
        <f>IF(C159="","",IFERROR(VLOOKUP(C159,'Tableau de routage'!$A$5:$L$29,3,FALSE),""))</f>
        <v/>
      </c>
      <c r="F159" s="9">
        <f>IF(C159="","",IFERROR(VLOOKUP(C159,'Tableau de routage'!$A$5:$L$29,4,FALSE),""))</f>
        <v/>
      </c>
      <c r="G159" s="6" t="n"/>
      <c r="H159" s="11" t="n"/>
      <c r="I159" s="9">
        <f>IF(A159="","",IF(AND(WEEKDAY(A159,2)&lt;=5,COUNTIF('Horaires'!$A$9:$A$38,INT(A159))=0,MOD(A159,1)&gt;='Horaires'!$B$4,MOD(A159,1)&lt;'Horaires'!$B$5),"Oui","Non"))</f>
        <v/>
      </c>
      <c r="J159" s="12">
        <f>IF(OR(A159="",C159=""),"",IFERROR(IF(I159="Oui",A159+VLOOKUP(C159,'Tableau de routage'!$A$5:$L$29,6,FALSE)/1440,IF(AND(WEEKDAY(A159,2)&lt;=5,COUNTIF('Horaires'!$A$9:$A$38,INT(A159))=0,MOD(A159,1)&lt;'Horaires'!$B$4),INT(A159),WORKDAY(INT(A159),1,'Horaires'!$A$9:$A$38))+VLOOKUP(C159,'Tableau de routage'!$A$5:$L$29,7,FALSE)),""))</f>
        <v/>
      </c>
      <c r="K159" s="9">
        <f>IF(OR(A159="",H159=""),"",ROUND((H159-A159)*1440,0))</f>
        <v/>
      </c>
      <c r="L159" s="8">
        <f>IF(OR(A159="",J159=""),"",IF(H159="",IF(NOW()&gt;J159,"Sans réponse","En cours"),IF(ROUND((H159-J159)*1440,0)&lt;=0,"À temps","En retard")))</f>
        <v/>
      </c>
      <c r="M159" s="6" t="n"/>
      <c r="N159" s="5" t="n"/>
    </row>
    <row r="160">
      <c r="A160" s="11" t="n"/>
      <c r="B160" s="5" t="n"/>
      <c r="C160" s="5" t="n"/>
      <c r="D160" s="5" t="n"/>
      <c r="E160" s="9">
        <f>IF(C160="","",IFERROR(VLOOKUP(C160,'Tableau de routage'!$A$5:$L$29,3,FALSE),""))</f>
        <v/>
      </c>
      <c r="F160" s="9">
        <f>IF(C160="","",IFERROR(VLOOKUP(C160,'Tableau de routage'!$A$5:$L$29,4,FALSE),""))</f>
        <v/>
      </c>
      <c r="G160" s="6" t="n"/>
      <c r="H160" s="11" t="n"/>
      <c r="I160" s="9">
        <f>IF(A160="","",IF(AND(WEEKDAY(A160,2)&lt;=5,COUNTIF('Horaires'!$A$9:$A$38,INT(A160))=0,MOD(A160,1)&gt;='Horaires'!$B$4,MOD(A160,1)&lt;'Horaires'!$B$5),"Oui","Non"))</f>
        <v/>
      </c>
      <c r="J160" s="12">
        <f>IF(OR(A160="",C160=""),"",IFERROR(IF(I160="Oui",A160+VLOOKUP(C160,'Tableau de routage'!$A$5:$L$29,6,FALSE)/1440,IF(AND(WEEKDAY(A160,2)&lt;=5,COUNTIF('Horaires'!$A$9:$A$38,INT(A160))=0,MOD(A160,1)&lt;'Horaires'!$B$4),INT(A160),WORKDAY(INT(A160),1,'Horaires'!$A$9:$A$38))+VLOOKUP(C160,'Tableau de routage'!$A$5:$L$29,7,FALSE)),""))</f>
        <v/>
      </c>
      <c r="K160" s="9">
        <f>IF(OR(A160="",H160=""),"",ROUND((H160-A160)*1440,0))</f>
        <v/>
      </c>
      <c r="L160" s="8">
        <f>IF(OR(A160="",J160=""),"",IF(H160="",IF(NOW()&gt;J160,"Sans réponse","En cours"),IF(ROUND((H160-J160)*1440,0)&lt;=0,"À temps","En retard")))</f>
        <v/>
      </c>
      <c r="M160" s="6" t="n"/>
      <c r="N160" s="5" t="n"/>
    </row>
    <row r="161">
      <c r="A161" s="11" t="n"/>
      <c r="B161" s="5" t="n"/>
      <c r="C161" s="5" t="n"/>
      <c r="D161" s="5" t="n"/>
      <c r="E161" s="9">
        <f>IF(C161="","",IFERROR(VLOOKUP(C161,'Tableau de routage'!$A$5:$L$29,3,FALSE),""))</f>
        <v/>
      </c>
      <c r="F161" s="9">
        <f>IF(C161="","",IFERROR(VLOOKUP(C161,'Tableau de routage'!$A$5:$L$29,4,FALSE),""))</f>
        <v/>
      </c>
      <c r="G161" s="6" t="n"/>
      <c r="H161" s="11" t="n"/>
      <c r="I161" s="9">
        <f>IF(A161="","",IF(AND(WEEKDAY(A161,2)&lt;=5,COUNTIF('Horaires'!$A$9:$A$38,INT(A161))=0,MOD(A161,1)&gt;='Horaires'!$B$4,MOD(A161,1)&lt;'Horaires'!$B$5),"Oui","Non"))</f>
        <v/>
      </c>
      <c r="J161" s="12">
        <f>IF(OR(A161="",C161=""),"",IFERROR(IF(I161="Oui",A161+VLOOKUP(C161,'Tableau de routage'!$A$5:$L$29,6,FALSE)/1440,IF(AND(WEEKDAY(A161,2)&lt;=5,COUNTIF('Horaires'!$A$9:$A$38,INT(A161))=0,MOD(A161,1)&lt;'Horaires'!$B$4),INT(A161),WORKDAY(INT(A161),1,'Horaires'!$A$9:$A$38))+VLOOKUP(C161,'Tableau de routage'!$A$5:$L$29,7,FALSE)),""))</f>
        <v/>
      </c>
      <c r="K161" s="9">
        <f>IF(OR(A161="",H161=""),"",ROUND((H161-A161)*1440,0))</f>
        <v/>
      </c>
      <c r="L161" s="8">
        <f>IF(OR(A161="",J161=""),"",IF(H161="",IF(NOW()&gt;J161,"Sans réponse","En cours"),IF(ROUND((H161-J161)*1440,0)&lt;=0,"À temps","En retard")))</f>
        <v/>
      </c>
      <c r="M161" s="6" t="n"/>
      <c r="N161" s="5" t="n"/>
    </row>
    <row r="162">
      <c r="A162" s="11" t="n"/>
      <c r="B162" s="5" t="n"/>
      <c r="C162" s="5" t="n"/>
      <c r="D162" s="5" t="n"/>
      <c r="E162" s="9">
        <f>IF(C162="","",IFERROR(VLOOKUP(C162,'Tableau de routage'!$A$5:$L$29,3,FALSE),""))</f>
        <v/>
      </c>
      <c r="F162" s="9">
        <f>IF(C162="","",IFERROR(VLOOKUP(C162,'Tableau de routage'!$A$5:$L$29,4,FALSE),""))</f>
        <v/>
      </c>
      <c r="G162" s="6" t="n"/>
      <c r="H162" s="11" t="n"/>
      <c r="I162" s="9">
        <f>IF(A162="","",IF(AND(WEEKDAY(A162,2)&lt;=5,COUNTIF('Horaires'!$A$9:$A$38,INT(A162))=0,MOD(A162,1)&gt;='Horaires'!$B$4,MOD(A162,1)&lt;'Horaires'!$B$5),"Oui","Non"))</f>
        <v/>
      </c>
      <c r="J162" s="12">
        <f>IF(OR(A162="",C162=""),"",IFERROR(IF(I162="Oui",A162+VLOOKUP(C162,'Tableau de routage'!$A$5:$L$29,6,FALSE)/1440,IF(AND(WEEKDAY(A162,2)&lt;=5,COUNTIF('Horaires'!$A$9:$A$38,INT(A162))=0,MOD(A162,1)&lt;'Horaires'!$B$4),INT(A162),WORKDAY(INT(A162),1,'Horaires'!$A$9:$A$38))+VLOOKUP(C162,'Tableau de routage'!$A$5:$L$29,7,FALSE)),""))</f>
        <v/>
      </c>
      <c r="K162" s="9">
        <f>IF(OR(A162="",H162=""),"",ROUND((H162-A162)*1440,0))</f>
        <v/>
      </c>
      <c r="L162" s="8">
        <f>IF(OR(A162="",J162=""),"",IF(H162="",IF(NOW()&gt;J162,"Sans réponse","En cours"),IF(ROUND((H162-J162)*1440,0)&lt;=0,"À temps","En retard")))</f>
        <v/>
      </c>
      <c r="M162" s="6" t="n"/>
      <c r="N162" s="5" t="n"/>
    </row>
    <row r="163">
      <c r="A163" s="11" t="n"/>
      <c r="B163" s="5" t="n"/>
      <c r="C163" s="5" t="n"/>
      <c r="D163" s="5" t="n"/>
      <c r="E163" s="9">
        <f>IF(C163="","",IFERROR(VLOOKUP(C163,'Tableau de routage'!$A$5:$L$29,3,FALSE),""))</f>
        <v/>
      </c>
      <c r="F163" s="9">
        <f>IF(C163="","",IFERROR(VLOOKUP(C163,'Tableau de routage'!$A$5:$L$29,4,FALSE),""))</f>
        <v/>
      </c>
      <c r="G163" s="6" t="n"/>
      <c r="H163" s="11" t="n"/>
      <c r="I163" s="9">
        <f>IF(A163="","",IF(AND(WEEKDAY(A163,2)&lt;=5,COUNTIF('Horaires'!$A$9:$A$38,INT(A163))=0,MOD(A163,1)&gt;='Horaires'!$B$4,MOD(A163,1)&lt;'Horaires'!$B$5),"Oui","Non"))</f>
        <v/>
      </c>
      <c r="J163" s="12">
        <f>IF(OR(A163="",C163=""),"",IFERROR(IF(I163="Oui",A163+VLOOKUP(C163,'Tableau de routage'!$A$5:$L$29,6,FALSE)/1440,IF(AND(WEEKDAY(A163,2)&lt;=5,COUNTIF('Horaires'!$A$9:$A$38,INT(A163))=0,MOD(A163,1)&lt;'Horaires'!$B$4),INT(A163),WORKDAY(INT(A163),1,'Horaires'!$A$9:$A$38))+VLOOKUP(C163,'Tableau de routage'!$A$5:$L$29,7,FALSE)),""))</f>
        <v/>
      </c>
      <c r="K163" s="9">
        <f>IF(OR(A163="",H163=""),"",ROUND((H163-A163)*1440,0))</f>
        <v/>
      </c>
      <c r="L163" s="8">
        <f>IF(OR(A163="",J163=""),"",IF(H163="",IF(NOW()&gt;J163,"Sans réponse","En cours"),IF(ROUND((H163-J163)*1440,0)&lt;=0,"À temps","En retard")))</f>
        <v/>
      </c>
      <c r="M163" s="6" t="n"/>
      <c r="N163" s="5" t="n"/>
    </row>
    <row r="164">
      <c r="A164" s="11" t="n"/>
      <c r="B164" s="5" t="n"/>
      <c r="C164" s="5" t="n"/>
      <c r="D164" s="5" t="n"/>
      <c r="E164" s="9">
        <f>IF(C164="","",IFERROR(VLOOKUP(C164,'Tableau de routage'!$A$5:$L$29,3,FALSE),""))</f>
        <v/>
      </c>
      <c r="F164" s="9">
        <f>IF(C164="","",IFERROR(VLOOKUP(C164,'Tableau de routage'!$A$5:$L$29,4,FALSE),""))</f>
        <v/>
      </c>
      <c r="G164" s="6" t="n"/>
      <c r="H164" s="11" t="n"/>
      <c r="I164" s="9">
        <f>IF(A164="","",IF(AND(WEEKDAY(A164,2)&lt;=5,COUNTIF('Horaires'!$A$9:$A$38,INT(A164))=0,MOD(A164,1)&gt;='Horaires'!$B$4,MOD(A164,1)&lt;'Horaires'!$B$5),"Oui","Non"))</f>
        <v/>
      </c>
      <c r="J164" s="12">
        <f>IF(OR(A164="",C164=""),"",IFERROR(IF(I164="Oui",A164+VLOOKUP(C164,'Tableau de routage'!$A$5:$L$29,6,FALSE)/1440,IF(AND(WEEKDAY(A164,2)&lt;=5,COUNTIF('Horaires'!$A$9:$A$38,INT(A164))=0,MOD(A164,1)&lt;'Horaires'!$B$4),INT(A164),WORKDAY(INT(A164),1,'Horaires'!$A$9:$A$38))+VLOOKUP(C164,'Tableau de routage'!$A$5:$L$29,7,FALSE)),""))</f>
        <v/>
      </c>
      <c r="K164" s="9">
        <f>IF(OR(A164="",H164=""),"",ROUND((H164-A164)*1440,0))</f>
        <v/>
      </c>
      <c r="L164" s="8">
        <f>IF(OR(A164="",J164=""),"",IF(H164="",IF(NOW()&gt;J164,"Sans réponse","En cours"),IF(ROUND((H164-J164)*1440,0)&lt;=0,"À temps","En retard")))</f>
        <v/>
      </c>
      <c r="M164" s="6" t="n"/>
      <c r="N164" s="5" t="n"/>
    </row>
    <row r="165">
      <c r="A165" s="11" t="n"/>
      <c r="B165" s="5" t="n"/>
      <c r="C165" s="5" t="n"/>
      <c r="D165" s="5" t="n"/>
      <c r="E165" s="9">
        <f>IF(C165="","",IFERROR(VLOOKUP(C165,'Tableau de routage'!$A$5:$L$29,3,FALSE),""))</f>
        <v/>
      </c>
      <c r="F165" s="9">
        <f>IF(C165="","",IFERROR(VLOOKUP(C165,'Tableau de routage'!$A$5:$L$29,4,FALSE),""))</f>
        <v/>
      </c>
      <c r="G165" s="6" t="n"/>
      <c r="H165" s="11" t="n"/>
      <c r="I165" s="9">
        <f>IF(A165="","",IF(AND(WEEKDAY(A165,2)&lt;=5,COUNTIF('Horaires'!$A$9:$A$38,INT(A165))=0,MOD(A165,1)&gt;='Horaires'!$B$4,MOD(A165,1)&lt;'Horaires'!$B$5),"Oui","Non"))</f>
        <v/>
      </c>
      <c r="J165" s="12">
        <f>IF(OR(A165="",C165=""),"",IFERROR(IF(I165="Oui",A165+VLOOKUP(C165,'Tableau de routage'!$A$5:$L$29,6,FALSE)/1440,IF(AND(WEEKDAY(A165,2)&lt;=5,COUNTIF('Horaires'!$A$9:$A$38,INT(A165))=0,MOD(A165,1)&lt;'Horaires'!$B$4),INT(A165),WORKDAY(INT(A165),1,'Horaires'!$A$9:$A$38))+VLOOKUP(C165,'Tableau de routage'!$A$5:$L$29,7,FALSE)),""))</f>
        <v/>
      </c>
      <c r="K165" s="9">
        <f>IF(OR(A165="",H165=""),"",ROUND((H165-A165)*1440,0))</f>
        <v/>
      </c>
      <c r="L165" s="8">
        <f>IF(OR(A165="",J165=""),"",IF(H165="",IF(NOW()&gt;J165,"Sans réponse","En cours"),IF(ROUND((H165-J165)*1440,0)&lt;=0,"À temps","En retard")))</f>
        <v/>
      </c>
      <c r="M165" s="6" t="n"/>
      <c r="N165" s="5" t="n"/>
    </row>
    <row r="166">
      <c r="A166" s="11" t="n"/>
      <c r="B166" s="5" t="n"/>
      <c r="C166" s="5" t="n"/>
      <c r="D166" s="5" t="n"/>
      <c r="E166" s="9">
        <f>IF(C166="","",IFERROR(VLOOKUP(C166,'Tableau de routage'!$A$5:$L$29,3,FALSE),""))</f>
        <v/>
      </c>
      <c r="F166" s="9">
        <f>IF(C166="","",IFERROR(VLOOKUP(C166,'Tableau de routage'!$A$5:$L$29,4,FALSE),""))</f>
        <v/>
      </c>
      <c r="G166" s="6" t="n"/>
      <c r="H166" s="11" t="n"/>
      <c r="I166" s="9">
        <f>IF(A166="","",IF(AND(WEEKDAY(A166,2)&lt;=5,COUNTIF('Horaires'!$A$9:$A$38,INT(A166))=0,MOD(A166,1)&gt;='Horaires'!$B$4,MOD(A166,1)&lt;'Horaires'!$B$5),"Oui","Non"))</f>
        <v/>
      </c>
      <c r="J166" s="12">
        <f>IF(OR(A166="",C166=""),"",IFERROR(IF(I166="Oui",A166+VLOOKUP(C166,'Tableau de routage'!$A$5:$L$29,6,FALSE)/1440,IF(AND(WEEKDAY(A166,2)&lt;=5,COUNTIF('Horaires'!$A$9:$A$38,INT(A166))=0,MOD(A166,1)&lt;'Horaires'!$B$4),INT(A166),WORKDAY(INT(A166),1,'Horaires'!$A$9:$A$38))+VLOOKUP(C166,'Tableau de routage'!$A$5:$L$29,7,FALSE)),""))</f>
        <v/>
      </c>
      <c r="K166" s="9">
        <f>IF(OR(A166="",H166=""),"",ROUND((H166-A166)*1440,0))</f>
        <v/>
      </c>
      <c r="L166" s="8">
        <f>IF(OR(A166="",J166=""),"",IF(H166="",IF(NOW()&gt;J166,"Sans réponse","En cours"),IF(ROUND((H166-J166)*1440,0)&lt;=0,"À temps","En retard")))</f>
        <v/>
      </c>
      <c r="M166" s="6" t="n"/>
      <c r="N166" s="5" t="n"/>
    </row>
    <row r="167">
      <c r="A167" s="11" t="n"/>
      <c r="B167" s="5" t="n"/>
      <c r="C167" s="5" t="n"/>
      <c r="D167" s="5" t="n"/>
      <c r="E167" s="9">
        <f>IF(C167="","",IFERROR(VLOOKUP(C167,'Tableau de routage'!$A$5:$L$29,3,FALSE),""))</f>
        <v/>
      </c>
      <c r="F167" s="9">
        <f>IF(C167="","",IFERROR(VLOOKUP(C167,'Tableau de routage'!$A$5:$L$29,4,FALSE),""))</f>
        <v/>
      </c>
      <c r="G167" s="6" t="n"/>
      <c r="H167" s="11" t="n"/>
      <c r="I167" s="9">
        <f>IF(A167="","",IF(AND(WEEKDAY(A167,2)&lt;=5,COUNTIF('Horaires'!$A$9:$A$38,INT(A167))=0,MOD(A167,1)&gt;='Horaires'!$B$4,MOD(A167,1)&lt;'Horaires'!$B$5),"Oui","Non"))</f>
        <v/>
      </c>
      <c r="J167" s="12">
        <f>IF(OR(A167="",C167=""),"",IFERROR(IF(I167="Oui",A167+VLOOKUP(C167,'Tableau de routage'!$A$5:$L$29,6,FALSE)/1440,IF(AND(WEEKDAY(A167,2)&lt;=5,COUNTIF('Horaires'!$A$9:$A$38,INT(A167))=0,MOD(A167,1)&lt;'Horaires'!$B$4),INT(A167),WORKDAY(INT(A167),1,'Horaires'!$A$9:$A$38))+VLOOKUP(C167,'Tableau de routage'!$A$5:$L$29,7,FALSE)),""))</f>
        <v/>
      </c>
      <c r="K167" s="9">
        <f>IF(OR(A167="",H167=""),"",ROUND((H167-A167)*1440,0))</f>
        <v/>
      </c>
      <c r="L167" s="8">
        <f>IF(OR(A167="",J167=""),"",IF(H167="",IF(NOW()&gt;J167,"Sans réponse","En cours"),IF(ROUND((H167-J167)*1440,0)&lt;=0,"À temps","En retard")))</f>
        <v/>
      </c>
      <c r="M167" s="6" t="n"/>
      <c r="N167" s="5" t="n"/>
    </row>
    <row r="168">
      <c r="A168" s="11" t="n"/>
      <c r="B168" s="5" t="n"/>
      <c r="C168" s="5" t="n"/>
      <c r="D168" s="5" t="n"/>
      <c r="E168" s="9">
        <f>IF(C168="","",IFERROR(VLOOKUP(C168,'Tableau de routage'!$A$5:$L$29,3,FALSE),""))</f>
        <v/>
      </c>
      <c r="F168" s="9">
        <f>IF(C168="","",IFERROR(VLOOKUP(C168,'Tableau de routage'!$A$5:$L$29,4,FALSE),""))</f>
        <v/>
      </c>
      <c r="G168" s="6" t="n"/>
      <c r="H168" s="11" t="n"/>
      <c r="I168" s="9">
        <f>IF(A168="","",IF(AND(WEEKDAY(A168,2)&lt;=5,COUNTIF('Horaires'!$A$9:$A$38,INT(A168))=0,MOD(A168,1)&gt;='Horaires'!$B$4,MOD(A168,1)&lt;'Horaires'!$B$5),"Oui","Non"))</f>
        <v/>
      </c>
      <c r="J168" s="12">
        <f>IF(OR(A168="",C168=""),"",IFERROR(IF(I168="Oui",A168+VLOOKUP(C168,'Tableau de routage'!$A$5:$L$29,6,FALSE)/1440,IF(AND(WEEKDAY(A168,2)&lt;=5,COUNTIF('Horaires'!$A$9:$A$38,INT(A168))=0,MOD(A168,1)&lt;'Horaires'!$B$4),INT(A168),WORKDAY(INT(A168),1,'Horaires'!$A$9:$A$38))+VLOOKUP(C168,'Tableau de routage'!$A$5:$L$29,7,FALSE)),""))</f>
        <v/>
      </c>
      <c r="K168" s="9">
        <f>IF(OR(A168="",H168=""),"",ROUND((H168-A168)*1440,0))</f>
        <v/>
      </c>
      <c r="L168" s="8">
        <f>IF(OR(A168="",J168=""),"",IF(H168="",IF(NOW()&gt;J168,"Sans réponse","En cours"),IF(ROUND((H168-J168)*1440,0)&lt;=0,"À temps","En retard")))</f>
        <v/>
      </c>
      <c r="M168" s="6" t="n"/>
      <c r="N168" s="5" t="n"/>
    </row>
    <row r="169">
      <c r="A169" s="11" t="n"/>
      <c r="B169" s="5" t="n"/>
      <c r="C169" s="5" t="n"/>
      <c r="D169" s="5" t="n"/>
      <c r="E169" s="9">
        <f>IF(C169="","",IFERROR(VLOOKUP(C169,'Tableau de routage'!$A$5:$L$29,3,FALSE),""))</f>
        <v/>
      </c>
      <c r="F169" s="9">
        <f>IF(C169="","",IFERROR(VLOOKUP(C169,'Tableau de routage'!$A$5:$L$29,4,FALSE),""))</f>
        <v/>
      </c>
      <c r="G169" s="6" t="n"/>
      <c r="H169" s="11" t="n"/>
      <c r="I169" s="9">
        <f>IF(A169="","",IF(AND(WEEKDAY(A169,2)&lt;=5,COUNTIF('Horaires'!$A$9:$A$38,INT(A169))=0,MOD(A169,1)&gt;='Horaires'!$B$4,MOD(A169,1)&lt;'Horaires'!$B$5),"Oui","Non"))</f>
        <v/>
      </c>
      <c r="J169" s="12">
        <f>IF(OR(A169="",C169=""),"",IFERROR(IF(I169="Oui",A169+VLOOKUP(C169,'Tableau de routage'!$A$5:$L$29,6,FALSE)/1440,IF(AND(WEEKDAY(A169,2)&lt;=5,COUNTIF('Horaires'!$A$9:$A$38,INT(A169))=0,MOD(A169,1)&lt;'Horaires'!$B$4),INT(A169),WORKDAY(INT(A169),1,'Horaires'!$A$9:$A$38))+VLOOKUP(C169,'Tableau de routage'!$A$5:$L$29,7,FALSE)),""))</f>
        <v/>
      </c>
      <c r="K169" s="9">
        <f>IF(OR(A169="",H169=""),"",ROUND((H169-A169)*1440,0))</f>
        <v/>
      </c>
      <c r="L169" s="8">
        <f>IF(OR(A169="",J169=""),"",IF(H169="",IF(NOW()&gt;J169,"Sans réponse","En cours"),IF(ROUND((H169-J169)*1440,0)&lt;=0,"À temps","En retard")))</f>
        <v/>
      </c>
      <c r="M169" s="6" t="n"/>
      <c r="N169" s="5" t="n"/>
    </row>
    <row r="170">
      <c r="A170" s="11" t="n"/>
      <c r="B170" s="5" t="n"/>
      <c r="C170" s="5" t="n"/>
      <c r="D170" s="5" t="n"/>
      <c r="E170" s="9">
        <f>IF(C170="","",IFERROR(VLOOKUP(C170,'Tableau de routage'!$A$5:$L$29,3,FALSE),""))</f>
        <v/>
      </c>
      <c r="F170" s="9">
        <f>IF(C170="","",IFERROR(VLOOKUP(C170,'Tableau de routage'!$A$5:$L$29,4,FALSE),""))</f>
        <v/>
      </c>
      <c r="G170" s="6" t="n"/>
      <c r="H170" s="11" t="n"/>
      <c r="I170" s="9">
        <f>IF(A170="","",IF(AND(WEEKDAY(A170,2)&lt;=5,COUNTIF('Horaires'!$A$9:$A$38,INT(A170))=0,MOD(A170,1)&gt;='Horaires'!$B$4,MOD(A170,1)&lt;'Horaires'!$B$5),"Oui","Non"))</f>
        <v/>
      </c>
      <c r="J170" s="12">
        <f>IF(OR(A170="",C170=""),"",IFERROR(IF(I170="Oui",A170+VLOOKUP(C170,'Tableau de routage'!$A$5:$L$29,6,FALSE)/1440,IF(AND(WEEKDAY(A170,2)&lt;=5,COUNTIF('Horaires'!$A$9:$A$38,INT(A170))=0,MOD(A170,1)&lt;'Horaires'!$B$4),INT(A170),WORKDAY(INT(A170),1,'Horaires'!$A$9:$A$38))+VLOOKUP(C170,'Tableau de routage'!$A$5:$L$29,7,FALSE)),""))</f>
        <v/>
      </c>
      <c r="K170" s="9">
        <f>IF(OR(A170="",H170=""),"",ROUND((H170-A170)*1440,0))</f>
        <v/>
      </c>
      <c r="L170" s="8">
        <f>IF(OR(A170="",J170=""),"",IF(H170="",IF(NOW()&gt;J170,"Sans réponse","En cours"),IF(ROUND((H170-J170)*1440,0)&lt;=0,"À temps","En retard")))</f>
        <v/>
      </c>
      <c r="M170" s="6" t="n"/>
      <c r="N170" s="5" t="n"/>
    </row>
    <row r="171">
      <c r="A171" s="11" t="n"/>
      <c r="B171" s="5" t="n"/>
      <c r="C171" s="5" t="n"/>
      <c r="D171" s="5" t="n"/>
      <c r="E171" s="9">
        <f>IF(C171="","",IFERROR(VLOOKUP(C171,'Tableau de routage'!$A$5:$L$29,3,FALSE),""))</f>
        <v/>
      </c>
      <c r="F171" s="9">
        <f>IF(C171="","",IFERROR(VLOOKUP(C171,'Tableau de routage'!$A$5:$L$29,4,FALSE),""))</f>
        <v/>
      </c>
      <c r="G171" s="6" t="n"/>
      <c r="H171" s="11" t="n"/>
      <c r="I171" s="9">
        <f>IF(A171="","",IF(AND(WEEKDAY(A171,2)&lt;=5,COUNTIF('Horaires'!$A$9:$A$38,INT(A171))=0,MOD(A171,1)&gt;='Horaires'!$B$4,MOD(A171,1)&lt;'Horaires'!$B$5),"Oui","Non"))</f>
        <v/>
      </c>
      <c r="J171" s="12">
        <f>IF(OR(A171="",C171=""),"",IFERROR(IF(I171="Oui",A171+VLOOKUP(C171,'Tableau de routage'!$A$5:$L$29,6,FALSE)/1440,IF(AND(WEEKDAY(A171,2)&lt;=5,COUNTIF('Horaires'!$A$9:$A$38,INT(A171))=0,MOD(A171,1)&lt;'Horaires'!$B$4),INT(A171),WORKDAY(INT(A171),1,'Horaires'!$A$9:$A$38))+VLOOKUP(C171,'Tableau de routage'!$A$5:$L$29,7,FALSE)),""))</f>
        <v/>
      </c>
      <c r="K171" s="9">
        <f>IF(OR(A171="",H171=""),"",ROUND((H171-A171)*1440,0))</f>
        <v/>
      </c>
      <c r="L171" s="8">
        <f>IF(OR(A171="",J171=""),"",IF(H171="",IF(NOW()&gt;J171,"Sans réponse","En cours"),IF(ROUND((H171-J171)*1440,0)&lt;=0,"À temps","En retard")))</f>
        <v/>
      </c>
      <c r="M171" s="6" t="n"/>
      <c r="N171" s="5" t="n"/>
    </row>
    <row r="172">
      <c r="A172" s="11" t="n"/>
      <c r="B172" s="5" t="n"/>
      <c r="C172" s="5" t="n"/>
      <c r="D172" s="5" t="n"/>
      <c r="E172" s="9">
        <f>IF(C172="","",IFERROR(VLOOKUP(C172,'Tableau de routage'!$A$5:$L$29,3,FALSE),""))</f>
        <v/>
      </c>
      <c r="F172" s="9">
        <f>IF(C172="","",IFERROR(VLOOKUP(C172,'Tableau de routage'!$A$5:$L$29,4,FALSE),""))</f>
        <v/>
      </c>
      <c r="G172" s="6" t="n"/>
      <c r="H172" s="11" t="n"/>
      <c r="I172" s="9">
        <f>IF(A172="","",IF(AND(WEEKDAY(A172,2)&lt;=5,COUNTIF('Horaires'!$A$9:$A$38,INT(A172))=0,MOD(A172,1)&gt;='Horaires'!$B$4,MOD(A172,1)&lt;'Horaires'!$B$5),"Oui","Non"))</f>
        <v/>
      </c>
      <c r="J172" s="12">
        <f>IF(OR(A172="",C172=""),"",IFERROR(IF(I172="Oui",A172+VLOOKUP(C172,'Tableau de routage'!$A$5:$L$29,6,FALSE)/1440,IF(AND(WEEKDAY(A172,2)&lt;=5,COUNTIF('Horaires'!$A$9:$A$38,INT(A172))=0,MOD(A172,1)&lt;'Horaires'!$B$4),INT(A172),WORKDAY(INT(A172),1,'Horaires'!$A$9:$A$38))+VLOOKUP(C172,'Tableau de routage'!$A$5:$L$29,7,FALSE)),""))</f>
        <v/>
      </c>
      <c r="K172" s="9">
        <f>IF(OR(A172="",H172=""),"",ROUND((H172-A172)*1440,0))</f>
        <v/>
      </c>
      <c r="L172" s="8">
        <f>IF(OR(A172="",J172=""),"",IF(H172="",IF(NOW()&gt;J172,"Sans réponse","En cours"),IF(ROUND((H172-J172)*1440,0)&lt;=0,"À temps","En retard")))</f>
        <v/>
      </c>
      <c r="M172" s="6" t="n"/>
      <c r="N172" s="5" t="n"/>
    </row>
    <row r="173">
      <c r="A173" s="11" t="n"/>
      <c r="B173" s="5" t="n"/>
      <c r="C173" s="5" t="n"/>
      <c r="D173" s="5" t="n"/>
      <c r="E173" s="9">
        <f>IF(C173="","",IFERROR(VLOOKUP(C173,'Tableau de routage'!$A$5:$L$29,3,FALSE),""))</f>
        <v/>
      </c>
      <c r="F173" s="9">
        <f>IF(C173="","",IFERROR(VLOOKUP(C173,'Tableau de routage'!$A$5:$L$29,4,FALSE),""))</f>
        <v/>
      </c>
      <c r="G173" s="6" t="n"/>
      <c r="H173" s="11" t="n"/>
      <c r="I173" s="9">
        <f>IF(A173="","",IF(AND(WEEKDAY(A173,2)&lt;=5,COUNTIF('Horaires'!$A$9:$A$38,INT(A173))=0,MOD(A173,1)&gt;='Horaires'!$B$4,MOD(A173,1)&lt;'Horaires'!$B$5),"Oui","Non"))</f>
        <v/>
      </c>
      <c r="J173" s="12">
        <f>IF(OR(A173="",C173=""),"",IFERROR(IF(I173="Oui",A173+VLOOKUP(C173,'Tableau de routage'!$A$5:$L$29,6,FALSE)/1440,IF(AND(WEEKDAY(A173,2)&lt;=5,COUNTIF('Horaires'!$A$9:$A$38,INT(A173))=0,MOD(A173,1)&lt;'Horaires'!$B$4),INT(A173),WORKDAY(INT(A173),1,'Horaires'!$A$9:$A$38))+VLOOKUP(C173,'Tableau de routage'!$A$5:$L$29,7,FALSE)),""))</f>
        <v/>
      </c>
      <c r="K173" s="9">
        <f>IF(OR(A173="",H173=""),"",ROUND((H173-A173)*1440,0))</f>
        <v/>
      </c>
      <c r="L173" s="8">
        <f>IF(OR(A173="",J173=""),"",IF(H173="",IF(NOW()&gt;J173,"Sans réponse","En cours"),IF(ROUND((H173-J173)*1440,0)&lt;=0,"À temps","En retard")))</f>
        <v/>
      </c>
      <c r="M173" s="6" t="n"/>
      <c r="N173" s="5" t="n"/>
    </row>
    <row r="174">
      <c r="A174" s="11" t="n"/>
      <c r="B174" s="5" t="n"/>
      <c r="C174" s="5" t="n"/>
      <c r="D174" s="5" t="n"/>
      <c r="E174" s="9">
        <f>IF(C174="","",IFERROR(VLOOKUP(C174,'Tableau de routage'!$A$5:$L$29,3,FALSE),""))</f>
        <v/>
      </c>
      <c r="F174" s="9">
        <f>IF(C174="","",IFERROR(VLOOKUP(C174,'Tableau de routage'!$A$5:$L$29,4,FALSE),""))</f>
        <v/>
      </c>
      <c r="G174" s="6" t="n"/>
      <c r="H174" s="11" t="n"/>
      <c r="I174" s="9">
        <f>IF(A174="","",IF(AND(WEEKDAY(A174,2)&lt;=5,COUNTIF('Horaires'!$A$9:$A$38,INT(A174))=0,MOD(A174,1)&gt;='Horaires'!$B$4,MOD(A174,1)&lt;'Horaires'!$B$5),"Oui","Non"))</f>
        <v/>
      </c>
      <c r="J174" s="12">
        <f>IF(OR(A174="",C174=""),"",IFERROR(IF(I174="Oui",A174+VLOOKUP(C174,'Tableau de routage'!$A$5:$L$29,6,FALSE)/1440,IF(AND(WEEKDAY(A174,2)&lt;=5,COUNTIF('Horaires'!$A$9:$A$38,INT(A174))=0,MOD(A174,1)&lt;'Horaires'!$B$4),INT(A174),WORKDAY(INT(A174),1,'Horaires'!$A$9:$A$38))+VLOOKUP(C174,'Tableau de routage'!$A$5:$L$29,7,FALSE)),""))</f>
        <v/>
      </c>
      <c r="K174" s="9">
        <f>IF(OR(A174="",H174=""),"",ROUND((H174-A174)*1440,0))</f>
        <v/>
      </c>
      <c r="L174" s="8">
        <f>IF(OR(A174="",J174=""),"",IF(H174="",IF(NOW()&gt;J174,"Sans réponse","En cours"),IF(ROUND((H174-J174)*1440,0)&lt;=0,"À temps","En retard")))</f>
        <v/>
      </c>
      <c r="M174" s="6" t="n"/>
      <c r="N174" s="5" t="n"/>
    </row>
    <row r="175">
      <c r="A175" s="11" t="n"/>
      <c r="B175" s="5" t="n"/>
      <c r="C175" s="5" t="n"/>
      <c r="D175" s="5" t="n"/>
      <c r="E175" s="9">
        <f>IF(C175="","",IFERROR(VLOOKUP(C175,'Tableau de routage'!$A$5:$L$29,3,FALSE),""))</f>
        <v/>
      </c>
      <c r="F175" s="9">
        <f>IF(C175="","",IFERROR(VLOOKUP(C175,'Tableau de routage'!$A$5:$L$29,4,FALSE),""))</f>
        <v/>
      </c>
      <c r="G175" s="6" t="n"/>
      <c r="H175" s="11" t="n"/>
      <c r="I175" s="9">
        <f>IF(A175="","",IF(AND(WEEKDAY(A175,2)&lt;=5,COUNTIF('Horaires'!$A$9:$A$38,INT(A175))=0,MOD(A175,1)&gt;='Horaires'!$B$4,MOD(A175,1)&lt;'Horaires'!$B$5),"Oui","Non"))</f>
        <v/>
      </c>
      <c r="J175" s="12">
        <f>IF(OR(A175="",C175=""),"",IFERROR(IF(I175="Oui",A175+VLOOKUP(C175,'Tableau de routage'!$A$5:$L$29,6,FALSE)/1440,IF(AND(WEEKDAY(A175,2)&lt;=5,COUNTIF('Horaires'!$A$9:$A$38,INT(A175))=0,MOD(A175,1)&lt;'Horaires'!$B$4),INT(A175),WORKDAY(INT(A175),1,'Horaires'!$A$9:$A$38))+VLOOKUP(C175,'Tableau de routage'!$A$5:$L$29,7,FALSE)),""))</f>
        <v/>
      </c>
      <c r="K175" s="9">
        <f>IF(OR(A175="",H175=""),"",ROUND((H175-A175)*1440,0))</f>
        <v/>
      </c>
      <c r="L175" s="8">
        <f>IF(OR(A175="",J175=""),"",IF(H175="",IF(NOW()&gt;J175,"Sans réponse","En cours"),IF(ROUND((H175-J175)*1440,0)&lt;=0,"À temps","En retard")))</f>
        <v/>
      </c>
      <c r="M175" s="6" t="n"/>
      <c r="N175" s="5" t="n"/>
    </row>
    <row r="176">
      <c r="A176" s="11" t="n"/>
      <c r="B176" s="5" t="n"/>
      <c r="C176" s="5" t="n"/>
      <c r="D176" s="5" t="n"/>
      <c r="E176" s="9">
        <f>IF(C176="","",IFERROR(VLOOKUP(C176,'Tableau de routage'!$A$5:$L$29,3,FALSE),""))</f>
        <v/>
      </c>
      <c r="F176" s="9">
        <f>IF(C176="","",IFERROR(VLOOKUP(C176,'Tableau de routage'!$A$5:$L$29,4,FALSE),""))</f>
        <v/>
      </c>
      <c r="G176" s="6" t="n"/>
      <c r="H176" s="11" t="n"/>
      <c r="I176" s="9">
        <f>IF(A176="","",IF(AND(WEEKDAY(A176,2)&lt;=5,COUNTIF('Horaires'!$A$9:$A$38,INT(A176))=0,MOD(A176,1)&gt;='Horaires'!$B$4,MOD(A176,1)&lt;'Horaires'!$B$5),"Oui","Non"))</f>
        <v/>
      </c>
      <c r="J176" s="12">
        <f>IF(OR(A176="",C176=""),"",IFERROR(IF(I176="Oui",A176+VLOOKUP(C176,'Tableau de routage'!$A$5:$L$29,6,FALSE)/1440,IF(AND(WEEKDAY(A176,2)&lt;=5,COUNTIF('Horaires'!$A$9:$A$38,INT(A176))=0,MOD(A176,1)&lt;'Horaires'!$B$4),INT(A176),WORKDAY(INT(A176),1,'Horaires'!$A$9:$A$38))+VLOOKUP(C176,'Tableau de routage'!$A$5:$L$29,7,FALSE)),""))</f>
        <v/>
      </c>
      <c r="K176" s="9">
        <f>IF(OR(A176="",H176=""),"",ROUND((H176-A176)*1440,0))</f>
        <v/>
      </c>
      <c r="L176" s="8">
        <f>IF(OR(A176="",J176=""),"",IF(H176="",IF(NOW()&gt;J176,"Sans réponse","En cours"),IF(ROUND((H176-J176)*1440,0)&lt;=0,"À temps","En retard")))</f>
        <v/>
      </c>
      <c r="M176" s="6" t="n"/>
      <c r="N176" s="5" t="n"/>
    </row>
    <row r="177">
      <c r="A177" s="11" t="n"/>
      <c r="B177" s="5" t="n"/>
      <c r="C177" s="5" t="n"/>
      <c r="D177" s="5" t="n"/>
      <c r="E177" s="9">
        <f>IF(C177="","",IFERROR(VLOOKUP(C177,'Tableau de routage'!$A$5:$L$29,3,FALSE),""))</f>
        <v/>
      </c>
      <c r="F177" s="9">
        <f>IF(C177="","",IFERROR(VLOOKUP(C177,'Tableau de routage'!$A$5:$L$29,4,FALSE),""))</f>
        <v/>
      </c>
      <c r="G177" s="6" t="n"/>
      <c r="H177" s="11" t="n"/>
      <c r="I177" s="9">
        <f>IF(A177="","",IF(AND(WEEKDAY(A177,2)&lt;=5,COUNTIF('Horaires'!$A$9:$A$38,INT(A177))=0,MOD(A177,1)&gt;='Horaires'!$B$4,MOD(A177,1)&lt;'Horaires'!$B$5),"Oui","Non"))</f>
        <v/>
      </c>
      <c r="J177" s="12">
        <f>IF(OR(A177="",C177=""),"",IFERROR(IF(I177="Oui",A177+VLOOKUP(C177,'Tableau de routage'!$A$5:$L$29,6,FALSE)/1440,IF(AND(WEEKDAY(A177,2)&lt;=5,COUNTIF('Horaires'!$A$9:$A$38,INT(A177))=0,MOD(A177,1)&lt;'Horaires'!$B$4),INT(A177),WORKDAY(INT(A177),1,'Horaires'!$A$9:$A$38))+VLOOKUP(C177,'Tableau de routage'!$A$5:$L$29,7,FALSE)),""))</f>
        <v/>
      </c>
      <c r="K177" s="9">
        <f>IF(OR(A177="",H177=""),"",ROUND((H177-A177)*1440,0))</f>
        <v/>
      </c>
      <c r="L177" s="8">
        <f>IF(OR(A177="",J177=""),"",IF(H177="",IF(NOW()&gt;J177,"Sans réponse","En cours"),IF(ROUND((H177-J177)*1440,0)&lt;=0,"À temps","En retard")))</f>
        <v/>
      </c>
      <c r="M177" s="6" t="n"/>
      <c r="N177" s="5" t="n"/>
    </row>
    <row r="178">
      <c r="A178" s="11" t="n"/>
      <c r="B178" s="5" t="n"/>
      <c r="C178" s="5" t="n"/>
      <c r="D178" s="5" t="n"/>
      <c r="E178" s="9">
        <f>IF(C178="","",IFERROR(VLOOKUP(C178,'Tableau de routage'!$A$5:$L$29,3,FALSE),""))</f>
        <v/>
      </c>
      <c r="F178" s="9">
        <f>IF(C178="","",IFERROR(VLOOKUP(C178,'Tableau de routage'!$A$5:$L$29,4,FALSE),""))</f>
        <v/>
      </c>
      <c r="G178" s="6" t="n"/>
      <c r="H178" s="11" t="n"/>
      <c r="I178" s="9">
        <f>IF(A178="","",IF(AND(WEEKDAY(A178,2)&lt;=5,COUNTIF('Horaires'!$A$9:$A$38,INT(A178))=0,MOD(A178,1)&gt;='Horaires'!$B$4,MOD(A178,1)&lt;'Horaires'!$B$5),"Oui","Non"))</f>
        <v/>
      </c>
      <c r="J178" s="12">
        <f>IF(OR(A178="",C178=""),"",IFERROR(IF(I178="Oui",A178+VLOOKUP(C178,'Tableau de routage'!$A$5:$L$29,6,FALSE)/1440,IF(AND(WEEKDAY(A178,2)&lt;=5,COUNTIF('Horaires'!$A$9:$A$38,INT(A178))=0,MOD(A178,1)&lt;'Horaires'!$B$4),INT(A178),WORKDAY(INT(A178),1,'Horaires'!$A$9:$A$38))+VLOOKUP(C178,'Tableau de routage'!$A$5:$L$29,7,FALSE)),""))</f>
        <v/>
      </c>
      <c r="K178" s="9">
        <f>IF(OR(A178="",H178=""),"",ROUND((H178-A178)*1440,0))</f>
        <v/>
      </c>
      <c r="L178" s="8">
        <f>IF(OR(A178="",J178=""),"",IF(H178="",IF(NOW()&gt;J178,"Sans réponse","En cours"),IF(ROUND((H178-J178)*1440,0)&lt;=0,"À temps","En retard")))</f>
        <v/>
      </c>
      <c r="M178" s="6" t="n"/>
      <c r="N178" s="5" t="n"/>
    </row>
    <row r="179">
      <c r="A179" s="11" t="n"/>
      <c r="B179" s="5" t="n"/>
      <c r="C179" s="5" t="n"/>
      <c r="D179" s="5" t="n"/>
      <c r="E179" s="9">
        <f>IF(C179="","",IFERROR(VLOOKUP(C179,'Tableau de routage'!$A$5:$L$29,3,FALSE),""))</f>
        <v/>
      </c>
      <c r="F179" s="9">
        <f>IF(C179="","",IFERROR(VLOOKUP(C179,'Tableau de routage'!$A$5:$L$29,4,FALSE),""))</f>
        <v/>
      </c>
      <c r="G179" s="6" t="n"/>
      <c r="H179" s="11" t="n"/>
      <c r="I179" s="9">
        <f>IF(A179="","",IF(AND(WEEKDAY(A179,2)&lt;=5,COUNTIF('Horaires'!$A$9:$A$38,INT(A179))=0,MOD(A179,1)&gt;='Horaires'!$B$4,MOD(A179,1)&lt;'Horaires'!$B$5),"Oui","Non"))</f>
        <v/>
      </c>
      <c r="J179" s="12">
        <f>IF(OR(A179="",C179=""),"",IFERROR(IF(I179="Oui",A179+VLOOKUP(C179,'Tableau de routage'!$A$5:$L$29,6,FALSE)/1440,IF(AND(WEEKDAY(A179,2)&lt;=5,COUNTIF('Horaires'!$A$9:$A$38,INT(A179))=0,MOD(A179,1)&lt;'Horaires'!$B$4),INT(A179),WORKDAY(INT(A179),1,'Horaires'!$A$9:$A$38))+VLOOKUP(C179,'Tableau de routage'!$A$5:$L$29,7,FALSE)),""))</f>
        <v/>
      </c>
      <c r="K179" s="9">
        <f>IF(OR(A179="",H179=""),"",ROUND((H179-A179)*1440,0))</f>
        <v/>
      </c>
      <c r="L179" s="8">
        <f>IF(OR(A179="",J179=""),"",IF(H179="",IF(NOW()&gt;J179,"Sans réponse","En cours"),IF(ROUND((H179-J179)*1440,0)&lt;=0,"À temps","En retard")))</f>
        <v/>
      </c>
      <c r="M179" s="6" t="n"/>
      <c r="N179" s="5" t="n"/>
    </row>
    <row r="180">
      <c r="A180" s="11" t="n"/>
      <c r="B180" s="5" t="n"/>
      <c r="C180" s="5" t="n"/>
      <c r="D180" s="5" t="n"/>
      <c r="E180" s="9">
        <f>IF(C180="","",IFERROR(VLOOKUP(C180,'Tableau de routage'!$A$5:$L$29,3,FALSE),""))</f>
        <v/>
      </c>
      <c r="F180" s="9">
        <f>IF(C180="","",IFERROR(VLOOKUP(C180,'Tableau de routage'!$A$5:$L$29,4,FALSE),""))</f>
        <v/>
      </c>
      <c r="G180" s="6" t="n"/>
      <c r="H180" s="11" t="n"/>
      <c r="I180" s="9">
        <f>IF(A180="","",IF(AND(WEEKDAY(A180,2)&lt;=5,COUNTIF('Horaires'!$A$9:$A$38,INT(A180))=0,MOD(A180,1)&gt;='Horaires'!$B$4,MOD(A180,1)&lt;'Horaires'!$B$5),"Oui","Non"))</f>
        <v/>
      </c>
      <c r="J180" s="12">
        <f>IF(OR(A180="",C180=""),"",IFERROR(IF(I180="Oui",A180+VLOOKUP(C180,'Tableau de routage'!$A$5:$L$29,6,FALSE)/1440,IF(AND(WEEKDAY(A180,2)&lt;=5,COUNTIF('Horaires'!$A$9:$A$38,INT(A180))=0,MOD(A180,1)&lt;'Horaires'!$B$4),INT(A180),WORKDAY(INT(A180),1,'Horaires'!$A$9:$A$38))+VLOOKUP(C180,'Tableau de routage'!$A$5:$L$29,7,FALSE)),""))</f>
        <v/>
      </c>
      <c r="K180" s="9">
        <f>IF(OR(A180="",H180=""),"",ROUND((H180-A180)*1440,0))</f>
        <v/>
      </c>
      <c r="L180" s="8">
        <f>IF(OR(A180="",J180=""),"",IF(H180="",IF(NOW()&gt;J180,"Sans réponse","En cours"),IF(ROUND((H180-J180)*1440,0)&lt;=0,"À temps","En retard")))</f>
        <v/>
      </c>
      <c r="M180" s="6" t="n"/>
      <c r="N180" s="5" t="n"/>
    </row>
    <row r="181">
      <c r="A181" s="11" t="n"/>
      <c r="B181" s="5" t="n"/>
      <c r="C181" s="5" t="n"/>
      <c r="D181" s="5" t="n"/>
      <c r="E181" s="9">
        <f>IF(C181="","",IFERROR(VLOOKUP(C181,'Tableau de routage'!$A$5:$L$29,3,FALSE),""))</f>
        <v/>
      </c>
      <c r="F181" s="9">
        <f>IF(C181="","",IFERROR(VLOOKUP(C181,'Tableau de routage'!$A$5:$L$29,4,FALSE),""))</f>
        <v/>
      </c>
      <c r="G181" s="6" t="n"/>
      <c r="H181" s="11" t="n"/>
      <c r="I181" s="9">
        <f>IF(A181="","",IF(AND(WEEKDAY(A181,2)&lt;=5,COUNTIF('Horaires'!$A$9:$A$38,INT(A181))=0,MOD(A181,1)&gt;='Horaires'!$B$4,MOD(A181,1)&lt;'Horaires'!$B$5),"Oui","Non"))</f>
        <v/>
      </c>
      <c r="J181" s="12">
        <f>IF(OR(A181="",C181=""),"",IFERROR(IF(I181="Oui",A181+VLOOKUP(C181,'Tableau de routage'!$A$5:$L$29,6,FALSE)/1440,IF(AND(WEEKDAY(A181,2)&lt;=5,COUNTIF('Horaires'!$A$9:$A$38,INT(A181))=0,MOD(A181,1)&lt;'Horaires'!$B$4),INT(A181),WORKDAY(INT(A181),1,'Horaires'!$A$9:$A$38))+VLOOKUP(C181,'Tableau de routage'!$A$5:$L$29,7,FALSE)),""))</f>
        <v/>
      </c>
      <c r="K181" s="9">
        <f>IF(OR(A181="",H181=""),"",ROUND((H181-A181)*1440,0))</f>
        <v/>
      </c>
      <c r="L181" s="8">
        <f>IF(OR(A181="",J181=""),"",IF(H181="",IF(NOW()&gt;J181,"Sans réponse","En cours"),IF(ROUND((H181-J181)*1440,0)&lt;=0,"À temps","En retard")))</f>
        <v/>
      </c>
      <c r="M181" s="6" t="n"/>
      <c r="N181" s="5" t="n"/>
    </row>
    <row r="182">
      <c r="A182" s="11" t="n"/>
      <c r="B182" s="5" t="n"/>
      <c r="C182" s="5" t="n"/>
      <c r="D182" s="5" t="n"/>
      <c r="E182" s="9">
        <f>IF(C182="","",IFERROR(VLOOKUP(C182,'Tableau de routage'!$A$5:$L$29,3,FALSE),""))</f>
        <v/>
      </c>
      <c r="F182" s="9">
        <f>IF(C182="","",IFERROR(VLOOKUP(C182,'Tableau de routage'!$A$5:$L$29,4,FALSE),""))</f>
        <v/>
      </c>
      <c r="G182" s="6" t="n"/>
      <c r="H182" s="11" t="n"/>
      <c r="I182" s="9">
        <f>IF(A182="","",IF(AND(WEEKDAY(A182,2)&lt;=5,COUNTIF('Horaires'!$A$9:$A$38,INT(A182))=0,MOD(A182,1)&gt;='Horaires'!$B$4,MOD(A182,1)&lt;'Horaires'!$B$5),"Oui","Non"))</f>
        <v/>
      </c>
      <c r="J182" s="12">
        <f>IF(OR(A182="",C182=""),"",IFERROR(IF(I182="Oui",A182+VLOOKUP(C182,'Tableau de routage'!$A$5:$L$29,6,FALSE)/1440,IF(AND(WEEKDAY(A182,2)&lt;=5,COUNTIF('Horaires'!$A$9:$A$38,INT(A182))=0,MOD(A182,1)&lt;'Horaires'!$B$4),INT(A182),WORKDAY(INT(A182),1,'Horaires'!$A$9:$A$38))+VLOOKUP(C182,'Tableau de routage'!$A$5:$L$29,7,FALSE)),""))</f>
        <v/>
      </c>
      <c r="K182" s="9">
        <f>IF(OR(A182="",H182=""),"",ROUND((H182-A182)*1440,0))</f>
        <v/>
      </c>
      <c r="L182" s="8">
        <f>IF(OR(A182="",J182=""),"",IF(H182="",IF(NOW()&gt;J182,"Sans réponse","En cours"),IF(ROUND((H182-J182)*1440,0)&lt;=0,"À temps","En retard")))</f>
        <v/>
      </c>
      <c r="M182" s="6" t="n"/>
      <c r="N182" s="5" t="n"/>
    </row>
    <row r="183">
      <c r="A183" s="11" t="n"/>
      <c r="B183" s="5" t="n"/>
      <c r="C183" s="5" t="n"/>
      <c r="D183" s="5" t="n"/>
      <c r="E183" s="9">
        <f>IF(C183="","",IFERROR(VLOOKUP(C183,'Tableau de routage'!$A$5:$L$29,3,FALSE),""))</f>
        <v/>
      </c>
      <c r="F183" s="9">
        <f>IF(C183="","",IFERROR(VLOOKUP(C183,'Tableau de routage'!$A$5:$L$29,4,FALSE),""))</f>
        <v/>
      </c>
      <c r="G183" s="6" t="n"/>
      <c r="H183" s="11" t="n"/>
      <c r="I183" s="9">
        <f>IF(A183="","",IF(AND(WEEKDAY(A183,2)&lt;=5,COUNTIF('Horaires'!$A$9:$A$38,INT(A183))=0,MOD(A183,1)&gt;='Horaires'!$B$4,MOD(A183,1)&lt;'Horaires'!$B$5),"Oui","Non"))</f>
        <v/>
      </c>
      <c r="J183" s="12">
        <f>IF(OR(A183="",C183=""),"",IFERROR(IF(I183="Oui",A183+VLOOKUP(C183,'Tableau de routage'!$A$5:$L$29,6,FALSE)/1440,IF(AND(WEEKDAY(A183,2)&lt;=5,COUNTIF('Horaires'!$A$9:$A$38,INT(A183))=0,MOD(A183,1)&lt;'Horaires'!$B$4),INT(A183),WORKDAY(INT(A183),1,'Horaires'!$A$9:$A$38))+VLOOKUP(C183,'Tableau de routage'!$A$5:$L$29,7,FALSE)),""))</f>
        <v/>
      </c>
      <c r="K183" s="9">
        <f>IF(OR(A183="",H183=""),"",ROUND((H183-A183)*1440,0))</f>
        <v/>
      </c>
      <c r="L183" s="8">
        <f>IF(OR(A183="",J183=""),"",IF(H183="",IF(NOW()&gt;J183,"Sans réponse","En cours"),IF(ROUND((H183-J183)*1440,0)&lt;=0,"À temps","En retard")))</f>
        <v/>
      </c>
      <c r="M183" s="6" t="n"/>
      <c r="N183" s="5" t="n"/>
    </row>
    <row r="184">
      <c r="A184" s="11" t="n"/>
      <c r="B184" s="5" t="n"/>
      <c r="C184" s="5" t="n"/>
      <c r="D184" s="5" t="n"/>
      <c r="E184" s="9">
        <f>IF(C184="","",IFERROR(VLOOKUP(C184,'Tableau de routage'!$A$5:$L$29,3,FALSE),""))</f>
        <v/>
      </c>
      <c r="F184" s="9">
        <f>IF(C184="","",IFERROR(VLOOKUP(C184,'Tableau de routage'!$A$5:$L$29,4,FALSE),""))</f>
        <v/>
      </c>
      <c r="G184" s="6" t="n"/>
      <c r="H184" s="11" t="n"/>
      <c r="I184" s="9">
        <f>IF(A184="","",IF(AND(WEEKDAY(A184,2)&lt;=5,COUNTIF('Horaires'!$A$9:$A$38,INT(A184))=0,MOD(A184,1)&gt;='Horaires'!$B$4,MOD(A184,1)&lt;'Horaires'!$B$5),"Oui","Non"))</f>
        <v/>
      </c>
      <c r="J184" s="12">
        <f>IF(OR(A184="",C184=""),"",IFERROR(IF(I184="Oui",A184+VLOOKUP(C184,'Tableau de routage'!$A$5:$L$29,6,FALSE)/1440,IF(AND(WEEKDAY(A184,2)&lt;=5,COUNTIF('Horaires'!$A$9:$A$38,INT(A184))=0,MOD(A184,1)&lt;'Horaires'!$B$4),INT(A184),WORKDAY(INT(A184),1,'Horaires'!$A$9:$A$38))+VLOOKUP(C184,'Tableau de routage'!$A$5:$L$29,7,FALSE)),""))</f>
        <v/>
      </c>
      <c r="K184" s="9">
        <f>IF(OR(A184="",H184=""),"",ROUND((H184-A184)*1440,0))</f>
        <v/>
      </c>
      <c r="L184" s="8">
        <f>IF(OR(A184="",J184=""),"",IF(H184="",IF(NOW()&gt;J184,"Sans réponse","En cours"),IF(ROUND((H184-J184)*1440,0)&lt;=0,"À temps","En retard")))</f>
        <v/>
      </c>
      <c r="M184" s="6" t="n"/>
      <c r="N184" s="5" t="n"/>
    </row>
    <row r="185">
      <c r="A185" s="11" t="n"/>
      <c r="B185" s="5" t="n"/>
      <c r="C185" s="5" t="n"/>
      <c r="D185" s="5" t="n"/>
      <c r="E185" s="9">
        <f>IF(C185="","",IFERROR(VLOOKUP(C185,'Tableau de routage'!$A$5:$L$29,3,FALSE),""))</f>
        <v/>
      </c>
      <c r="F185" s="9">
        <f>IF(C185="","",IFERROR(VLOOKUP(C185,'Tableau de routage'!$A$5:$L$29,4,FALSE),""))</f>
        <v/>
      </c>
      <c r="G185" s="6" t="n"/>
      <c r="H185" s="11" t="n"/>
      <c r="I185" s="9">
        <f>IF(A185="","",IF(AND(WEEKDAY(A185,2)&lt;=5,COUNTIF('Horaires'!$A$9:$A$38,INT(A185))=0,MOD(A185,1)&gt;='Horaires'!$B$4,MOD(A185,1)&lt;'Horaires'!$B$5),"Oui","Non"))</f>
        <v/>
      </c>
      <c r="J185" s="12">
        <f>IF(OR(A185="",C185=""),"",IFERROR(IF(I185="Oui",A185+VLOOKUP(C185,'Tableau de routage'!$A$5:$L$29,6,FALSE)/1440,IF(AND(WEEKDAY(A185,2)&lt;=5,COUNTIF('Horaires'!$A$9:$A$38,INT(A185))=0,MOD(A185,1)&lt;'Horaires'!$B$4),INT(A185),WORKDAY(INT(A185),1,'Horaires'!$A$9:$A$38))+VLOOKUP(C185,'Tableau de routage'!$A$5:$L$29,7,FALSE)),""))</f>
        <v/>
      </c>
      <c r="K185" s="9">
        <f>IF(OR(A185="",H185=""),"",ROUND((H185-A185)*1440,0))</f>
        <v/>
      </c>
      <c r="L185" s="8">
        <f>IF(OR(A185="",J185=""),"",IF(H185="",IF(NOW()&gt;J185,"Sans réponse","En cours"),IF(ROUND((H185-J185)*1440,0)&lt;=0,"À temps","En retard")))</f>
        <v/>
      </c>
      <c r="M185" s="6" t="n"/>
      <c r="N185" s="5" t="n"/>
    </row>
    <row r="186">
      <c r="A186" s="11" t="n"/>
      <c r="B186" s="5" t="n"/>
      <c r="C186" s="5" t="n"/>
      <c r="D186" s="5" t="n"/>
      <c r="E186" s="9">
        <f>IF(C186="","",IFERROR(VLOOKUP(C186,'Tableau de routage'!$A$5:$L$29,3,FALSE),""))</f>
        <v/>
      </c>
      <c r="F186" s="9">
        <f>IF(C186="","",IFERROR(VLOOKUP(C186,'Tableau de routage'!$A$5:$L$29,4,FALSE),""))</f>
        <v/>
      </c>
      <c r="G186" s="6" t="n"/>
      <c r="H186" s="11" t="n"/>
      <c r="I186" s="9">
        <f>IF(A186="","",IF(AND(WEEKDAY(A186,2)&lt;=5,COUNTIF('Horaires'!$A$9:$A$38,INT(A186))=0,MOD(A186,1)&gt;='Horaires'!$B$4,MOD(A186,1)&lt;'Horaires'!$B$5),"Oui","Non"))</f>
        <v/>
      </c>
      <c r="J186" s="12">
        <f>IF(OR(A186="",C186=""),"",IFERROR(IF(I186="Oui",A186+VLOOKUP(C186,'Tableau de routage'!$A$5:$L$29,6,FALSE)/1440,IF(AND(WEEKDAY(A186,2)&lt;=5,COUNTIF('Horaires'!$A$9:$A$38,INT(A186))=0,MOD(A186,1)&lt;'Horaires'!$B$4),INT(A186),WORKDAY(INT(A186),1,'Horaires'!$A$9:$A$38))+VLOOKUP(C186,'Tableau de routage'!$A$5:$L$29,7,FALSE)),""))</f>
        <v/>
      </c>
      <c r="K186" s="9">
        <f>IF(OR(A186="",H186=""),"",ROUND((H186-A186)*1440,0))</f>
        <v/>
      </c>
      <c r="L186" s="8">
        <f>IF(OR(A186="",J186=""),"",IF(H186="",IF(NOW()&gt;J186,"Sans réponse","En cours"),IF(ROUND((H186-J186)*1440,0)&lt;=0,"À temps","En retard")))</f>
        <v/>
      </c>
      <c r="M186" s="6" t="n"/>
      <c r="N186" s="5" t="n"/>
    </row>
    <row r="187">
      <c r="A187" s="11" t="n"/>
      <c r="B187" s="5" t="n"/>
      <c r="C187" s="5" t="n"/>
      <c r="D187" s="5" t="n"/>
      <c r="E187" s="9">
        <f>IF(C187="","",IFERROR(VLOOKUP(C187,'Tableau de routage'!$A$5:$L$29,3,FALSE),""))</f>
        <v/>
      </c>
      <c r="F187" s="9">
        <f>IF(C187="","",IFERROR(VLOOKUP(C187,'Tableau de routage'!$A$5:$L$29,4,FALSE),""))</f>
        <v/>
      </c>
      <c r="G187" s="6" t="n"/>
      <c r="H187" s="11" t="n"/>
      <c r="I187" s="9">
        <f>IF(A187="","",IF(AND(WEEKDAY(A187,2)&lt;=5,COUNTIF('Horaires'!$A$9:$A$38,INT(A187))=0,MOD(A187,1)&gt;='Horaires'!$B$4,MOD(A187,1)&lt;'Horaires'!$B$5),"Oui","Non"))</f>
        <v/>
      </c>
      <c r="J187" s="12">
        <f>IF(OR(A187="",C187=""),"",IFERROR(IF(I187="Oui",A187+VLOOKUP(C187,'Tableau de routage'!$A$5:$L$29,6,FALSE)/1440,IF(AND(WEEKDAY(A187,2)&lt;=5,COUNTIF('Horaires'!$A$9:$A$38,INT(A187))=0,MOD(A187,1)&lt;'Horaires'!$B$4),INT(A187),WORKDAY(INT(A187),1,'Horaires'!$A$9:$A$38))+VLOOKUP(C187,'Tableau de routage'!$A$5:$L$29,7,FALSE)),""))</f>
        <v/>
      </c>
      <c r="K187" s="9">
        <f>IF(OR(A187="",H187=""),"",ROUND((H187-A187)*1440,0))</f>
        <v/>
      </c>
      <c r="L187" s="8">
        <f>IF(OR(A187="",J187=""),"",IF(H187="",IF(NOW()&gt;J187,"Sans réponse","En cours"),IF(ROUND((H187-J187)*1440,0)&lt;=0,"À temps","En retard")))</f>
        <v/>
      </c>
      <c r="M187" s="6" t="n"/>
      <c r="N187" s="5" t="n"/>
    </row>
    <row r="188">
      <c r="A188" s="11" t="n"/>
      <c r="B188" s="5" t="n"/>
      <c r="C188" s="5" t="n"/>
      <c r="D188" s="5" t="n"/>
      <c r="E188" s="9">
        <f>IF(C188="","",IFERROR(VLOOKUP(C188,'Tableau de routage'!$A$5:$L$29,3,FALSE),""))</f>
        <v/>
      </c>
      <c r="F188" s="9">
        <f>IF(C188="","",IFERROR(VLOOKUP(C188,'Tableau de routage'!$A$5:$L$29,4,FALSE),""))</f>
        <v/>
      </c>
      <c r="G188" s="6" t="n"/>
      <c r="H188" s="11" t="n"/>
      <c r="I188" s="9">
        <f>IF(A188="","",IF(AND(WEEKDAY(A188,2)&lt;=5,COUNTIF('Horaires'!$A$9:$A$38,INT(A188))=0,MOD(A188,1)&gt;='Horaires'!$B$4,MOD(A188,1)&lt;'Horaires'!$B$5),"Oui","Non"))</f>
        <v/>
      </c>
      <c r="J188" s="12">
        <f>IF(OR(A188="",C188=""),"",IFERROR(IF(I188="Oui",A188+VLOOKUP(C188,'Tableau de routage'!$A$5:$L$29,6,FALSE)/1440,IF(AND(WEEKDAY(A188,2)&lt;=5,COUNTIF('Horaires'!$A$9:$A$38,INT(A188))=0,MOD(A188,1)&lt;'Horaires'!$B$4),INT(A188),WORKDAY(INT(A188),1,'Horaires'!$A$9:$A$38))+VLOOKUP(C188,'Tableau de routage'!$A$5:$L$29,7,FALSE)),""))</f>
        <v/>
      </c>
      <c r="K188" s="9">
        <f>IF(OR(A188="",H188=""),"",ROUND((H188-A188)*1440,0))</f>
        <v/>
      </c>
      <c r="L188" s="8">
        <f>IF(OR(A188="",J188=""),"",IF(H188="",IF(NOW()&gt;J188,"Sans réponse","En cours"),IF(ROUND((H188-J188)*1440,0)&lt;=0,"À temps","En retard")))</f>
        <v/>
      </c>
      <c r="M188" s="6" t="n"/>
      <c r="N188" s="5" t="n"/>
    </row>
    <row r="189">
      <c r="A189" s="11" t="n"/>
      <c r="B189" s="5" t="n"/>
      <c r="C189" s="5" t="n"/>
      <c r="D189" s="5" t="n"/>
      <c r="E189" s="9">
        <f>IF(C189="","",IFERROR(VLOOKUP(C189,'Tableau de routage'!$A$5:$L$29,3,FALSE),""))</f>
        <v/>
      </c>
      <c r="F189" s="9">
        <f>IF(C189="","",IFERROR(VLOOKUP(C189,'Tableau de routage'!$A$5:$L$29,4,FALSE),""))</f>
        <v/>
      </c>
      <c r="G189" s="6" t="n"/>
      <c r="H189" s="11" t="n"/>
      <c r="I189" s="9">
        <f>IF(A189="","",IF(AND(WEEKDAY(A189,2)&lt;=5,COUNTIF('Horaires'!$A$9:$A$38,INT(A189))=0,MOD(A189,1)&gt;='Horaires'!$B$4,MOD(A189,1)&lt;'Horaires'!$B$5),"Oui","Non"))</f>
        <v/>
      </c>
      <c r="J189" s="12">
        <f>IF(OR(A189="",C189=""),"",IFERROR(IF(I189="Oui",A189+VLOOKUP(C189,'Tableau de routage'!$A$5:$L$29,6,FALSE)/1440,IF(AND(WEEKDAY(A189,2)&lt;=5,COUNTIF('Horaires'!$A$9:$A$38,INT(A189))=0,MOD(A189,1)&lt;'Horaires'!$B$4),INT(A189),WORKDAY(INT(A189),1,'Horaires'!$A$9:$A$38))+VLOOKUP(C189,'Tableau de routage'!$A$5:$L$29,7,FALSE)),""))</f>
        <v/>
      </c>
      <c r="K189" s="9">
        <f>IF(OR(A189="",H189=""),"",ROUND((H189-A189)*1440,0))</f>
        <v/>
      </c>
      <c r="L189" s="8">
        <f>IF(OR(A189="",J189=""),"",IF(H189="",IF(NOW()&gt;J189,"Sans réponse","En cours"),IF(ROUND((H189-J189)*1440,0)&lt;=0,"À temps","En retard")))</f>
        <v/>
      </c>
      <c r="M189" s="6" t="n"/>
      <c r="N189" s="5" t="n"/>
    </row>
    <row r="190">
      <c r="A190" s="11" t="n"/>
      <c r="B190" s="5" t="n"/>
      <c r="C190" s="5" t="n"/>
      <c r="D190" s="5" t="n"/>
      <c r="E190" s="9">
        <f>IF(C190="","",IFERROR(VLOOKUP(C190,'Tableau de routage'!$A$5:$L$29,3,FALSE),""))</f>
        <v/>
      </c>
      <c r="F190" s="9">
        <f>IF(C190="","",IFERROR(VLOOKUP(C190,'Tableau de routage'!$A$5:$L$29,4,FALSE),""))</f>
        <v/>
      </c>
      <c r="G190" s="6" t="n"/>
      <c r="H190" s="11" t="n"/>
      <c r="I190" s="9">
        <f>IF(A190="","",IF(AND(WEEKDAY(A190,2)&lt;=5,COUNTIF('Horaires'!$A$9:$A$38,INT(A190))=0,MOD(A190,1)&gt;='Horaires'!$B$4,MOD(A190,1)&lt;'Horaires'!$B$5),"Oui","Non"))</f>
        <v/>
      </c>
      <c r="J190" s="12">
        <f>IF(OR(A190="",C190=""),"",IFERROR(IF(I190="Oui",A190+VLOOKUP(C190,'Tableau de routage'!$A$5:$L$29,6,FALSE)/1440,IF(AND(WEEKDAY(A190,2)&lt;=5,COUNTIF('Horaires'!$A$9:$A$38,INT(A190))=0,MOD(A190,1)&lt;'Horaires'!$B$4),INT(A190),WORKDAY(INT(A190),1,'Horaires'!$A$9:$A$38))+VLOOKUP(C190,'Tableau de routage'!$A$5:$L$29,7,FALSE)),""))</f>
        <v/>
      </c>
      <c r="K190" s="9">
        <f>IF(OR(A190="",H190=""),"",ROUND((H190-A190)*1440,0))</f>
        <v/>
      </c>
      <c r="L190" s="8">
        <f>IF(OR(A190="",J190=""),"",IF(H190="",IF(NOW()&gt;J190,"Sans réponse","En cours"),IF(ROUND((H190-J190)*1440,0)&lt;=0,"À temps","En retard")))</f>
        <v/>
      </c>
      <c r="M190" s="6" t="n"/>
      <c r="N190" s="5" t="n"/>
    </row>
    <row r="191">
      <c r="A191" s="11" t="n"/>
      <c r="B191" s="5" t="n"/>
      <c r="C191" s="5" t="n"/>
      <c r="D191" s="5" t="n"/>
      <c r="E191" s="9">
        <f>IF(C191="","",IFERROR(VLOOKUP(C191,'Tableau de routage'!$A$5:$L$29,3,FALSE),""))</f>
        <v/>
      </c>
      <c r="F191" s="9">
        <f>IF(C191="","",IFERROR(VLOOKUP(C191,'Tableau de routage'!$A$5:$L$29,4,FALSE),""))</f>
        <v/>
      </c>
      <c r="G191" s="6" t="n"/>
      <c r="H191" s="11" t="n"/>
      <c r="I191" s="9">
        <f>IF(A191="","",IF(AND(WEEKDAY(A191,2)&lt;=5,COUNTIF('Horaires'!$A$9:$A$38,INT(A191))=0,MOD(A191,1)&gt;='Horaires'!$B$4,MOD(A191,1)&lt;'Horaires'!$B$5),"Oui","Non"))</f>
        <v/>
      </c>
      <c r="J191" s="12">
        <f>IF(OR(A191="",C191=""),"",IFERROR(IF(I191="Oui",A191+VLOOKUP(C191,'Tableau de routage'!$A$5:$L$29,6,FALSE)/1440,IF(AND(WEEKDAY(A191,2)&lt;=5,COUNTIF('Horaires'!$A$9:$A$38,INT(A191))=0,MOD(A191,1)&lt;'Horaires'!$B$4),INT(A191),WORKDAY(INT(A191),1,'Horaires'!$A$9:$A$38))+VLOOKUP(C191,'Tableau de routage'!$A$5:$L$29,7,FALSE)),""))</f>
        <v/>
      </c>
      <c r="K191" s="9">
        <f>IF(OR(A191="",H191=""),"",ROUND((H191-A191)*1440,0))</f>
        <v/>
      </c>
      <c r="L191" s="8">
        <f>IF(OR(A191="",J191=""),"",IF(H191="",IF(NOW()&gt;J191,"Sans réponse","En cours"),IF(ROUND((H191-J191)*1440,0)&lt;=0,"À temps","En retard")))</f>
        <v/>
      </c>
      <c r="M191" s="6" t="n"/>
      <c r="N191" s="5" t="n"/>
    </row>
    <row r="192">
      <c r="A192" s="11" t="n"/>
      <c r="B192" s="5" t="n"/>
      <c r="C192" s="5" t="n"/>
      <c r="D192" s="5" t="n"/>
      <c r="E192" s="9">
        <f>IF(C192="","",IFERROR(VLOOKUP(C192,'Tableau de routage'!$A$5:$L$29,3,FALSE),""))</f>
        <v/>
      </c>
      <c r="F192" s="9">
        <f>IF(C192="","",IFERROR(VLOOKUP(C192,'Tableau de routage'!$A$5:$L$29,4,FALSE),""))</f>
        <v/>
      </c>
      <c r="G192" s="6" t="n"/>
      <c r="H192" s="11" t="n"/>
      <c r="I192" s="9">
        <f>IF(A192="","",IF(AND(WEEKDAY(A192,2)&lt;=5,COUNTIF('Horaires'!$A$9:$A$38,INT(A192))=0,MOD(A192,1)&gt;='Horaires'!$B$4,MOD(A192,1)&lt;'Horaires'!$B$5),"Oui","Non"))</f>
        <v/>
      </c>
      <c r="J192" s="12">
        <f>IF(OR(A192="",C192=""),"",IFERROR(IF(I192="Oui",A192+VLOOKUP(C192,'Tableau de routage'!$A$5:$L$29,6,FALSE)/1440,IF(AND(WEEKDAY(A192,2)&lt;=5,COUNTIF('Horaires'!$A$9:$A$38,INT(A192))=0,MOD(A192,1)&lt;'Horaires'!$B$4),INT(A192),WORKDAY(INT(A192),1,'Horaires'!$A$9:$A$38))+VLOOKUP(C192,'Tableau de routage'!$A$5:$L$29,7,FALSE)),""))</f>
        <v/>
      </c>
      <c r="K192" s="9">
        <f>IF(OR(A192="",H192=""),"",ROUND((H192-A192)*1440,0))</f>
        <v/>
      </c>
      <c r="L192" s="8">
        <f>IF(OR(A192="",J192=""),"",IF(H192="",IF(NOW()&gt;J192,"Sans réponse","En cours"),IF(ROUND((H192-J192)*1440,0)&lt;=0,"À temps","En retard")))</f>
        <v/>
      </c>
      <c r="M192" s="6" t="n"/>
      <c r="N192" s="5" t="n"/>
    </row>
    <row r="193">
      <c r="A193" s="11" t="n"/>
      <c r="B193" s="5" t="n"/>
      <c r="C193" s="5" t="n"/>
      <c r="D193" s="5" t="n"/>
      <c r="E193" s="9">
        <f>IF(C193="","",IFERROR(VLOOKUP(C193,'Tableau de routage'!$A$5:$L$29,3,FALSE),""))</f>
        <v/>
      </c>
      <c r="F193" s="9">
        <f>IF(C193="","",IFERROR(VLOOKUP(C193,'Tableau de routage'!$A$5:$L$29,4,FALSE),""))</f>
        <v/>
      </c>
      <c r="G193" s="6" t="n"/>
      <c r="H193" s="11" t="n"/>
      <c r="I193" s="9">
        <f>IF(A193="","",IF(AND(WEEKDAY(A193,2)&lt;=5,COUNTIF('Horaires'!$A$9:$A$38,INT(A193))=0,MOD(A193,1)&gt;='Horaires'!$B$4,MOD(A193,1)&lt;'Horaires'!$B$5),"Oui","Non"))</f>
        <v/>
      </c>
      <c r="J193" s="12">
        <f>IF(OR(A193="",C193=""),"",IFERROR(IF(I193="Oui",A193+VLOOKUP(C193,'Tableau de routage'!$A$5:$L$29,6,FALSE)/1440,IF(AND(WEEKDAY(A193,2)&lt;=5,COUNTIF('Horaires'!$A$9:$A$38,INT(A193))=0,MOD(A193,1)&lt;'Horaires'!$B$4),INT(A193),WORKDAY(INT(A193),1,'Horaires'!$A$9:$A$38))+VLOOKUP(C193,'Tableau de routage'!$A$5:$L$29,7,FALSE)),""))</f>
        <v/>
      </c>
      <c r="K193" s="9">
        <f>IF(OR(A193="",H193=""),"",ROUND((H193-A193)*1440,0))</f>
        <v/>
      </c>
      <c r="L193" s="8">
        <f>IF(OR(A193="",J193=""),"",IF(H193="",IF(NOW()&gt;J193,"Sans réponse","En cours"),IF(ROUND((H193-J193)*1440,0)&lt;=0,"À temps","En retard")))</f>
        <v/>
      </c>
      <c r="M193" s="6" t="n"/>
      <c r="N193" s="5" t="n"/>
    </row>
    <row r="194">
      <c r="A194" s="11" t="n"/>
      <c r="B194" s="5" t="n"/>
      <c r="C194" s="5" t="n"/>
      <c r="D194" s="5" t="n"/>
      <c r="E194" s="9">
        <f>IF(C194="","",IFERROR(VLOOKUP(C194,'Tableau de routage'!$A$5:$L$29,3,FALSE),""))</f>
        <v/>
      </c>
      <c r="F194" s="9">
        <f>IF(C194="","",IFERROR(VLOOKUP(C194,'Tableau de routage'!$A$5:$L$29,4,FALSE),""))</f>
        <v/>
      </c>
      <c r="G194" s="6" t="n"/>
      <c r="H194" s="11" t="n"/>
      <c r="I194" s="9">
        <f>IF(A194="","",IF(AND(WEEKDAY(A194,2)&lt;=5,COUNTIF('Horaires'!$A$9:$A$38,INT(A194))=0,MOD(A194,1)&gt;='Horaires'!$B$4,MOD(A194,1)&lt;'Horaires'!$B$5),"Oui","Non"))</f>
        <v/>
      </c>
      <c r="J194" s="12">
        <f>IF(OR(A194="",C194=""),"",IFERROR(IF(I194="Oui",A194+VLOOKUP(C194,'Tableau de routage'!$A$5:$L$29,6,FALSE)/1440,IF(AND(WEEKDAY(A194,2)&lt;=5,COUNTIF('Horaires'!$A$9:$A$38,INT(A194))=0,MOD(A194,1)&lt;'Horaires'!$B$4),INT(A194),WORKDAY(INT(A194),1,'Horaires'!$A$9:$A$38))+VLOOKUP(C194,'Tableau de routage'!$A$5:$L$29,7,FALSE)),""))</f>
        <v/>
      </c>
      <c r="K194" s="9">
        <f>IF(OR(A194="",H194=""),"",ROUND((H194-A194)*1440,0))</f>
        <v/>
      </c>
      <c r="L194" s="8">
        <f>IF(OR(A194="",J194=""),"",IF(H194="",IF(NOW()&gt;J194,"Sans réponse","En cours"),IF(ROUND((H194-J194)*1440,0)&lt;=0,"À temps","En retard")))</f>
        <v/>
      </c>
      <c r="M194" s="6" t="n"/>
      <c r="N194" s="5" t="n"/>
    </row>
    <row r="195">
      <c r="A195" s="11" t="n"/>
      <c r="B195" s="5" t="n"/>
      <c r="C195" s="5" t="n"/>
      <c r="D195" s="5" t="n"/>
      <c r="E195" s="9">
        <f>IF(C195="","",IFERROR(VLOOKUP(C195,'Tableau de routage'!$A$5:$L$29,3,FALSE),""))</f>
        <v/>
      </c>
      <c r="F195" s="9">
        <f>IF(C195="","",IFERROR(VLOOKUP(C195,'Tableau de routage'!$A$5:$L$29,4,FALSE),""))</f>
        <v/>
      </c>
      <c r="G195" s="6" t="n"/>
      <c r="H195" s="11" t="n"/>
      <c r="I195" s="9">
        <f>IF(A195="","",IF(AND(WEEKDAY(A195,2)&lt;=5,COUNTIF('Horaires'!$A$9:$A$38,INT(A195))=0,MOD(A195,1)&gt;='Horaires'!$B$4,MOD(A195,1)&lt;'Horaires'!$B$5),"Oui","Non"))</f>
        <v/>
      </c>
      <c r="J195" s="12">
        <f>IF(OR(A195="",C195=""),"",IFERROR(IF(I195="Oui",A195+VLOOKUP(C195,'Tableau de routage'!$A$5:$L$29,6,FALSE)/1440,IF(AND(WEEKDAY(A195,2)&lt;=5,COUNTIF('Horaires'!$A$9:$A$38,INT(A195))=0,MOD(A195,1)&lt;'Horaires'!$B$4),INT(A195),WORKDAY(INT(A195),1,'Horaires'!$A$9:$A$38))+VLOOKUP(C195,'Tableau de routage'!$A$5:$L$29,7,FALSE)),""))</f>
        <v/>
      </c>
      <c r="K195" s="9">
        <f>IF(OR(A195="",H195=""),"",ROUND((H195-A195)*1440,0))</f>
        <v/>
      </c>
      <c r="L195" s="8">
        <f>IF(OR(A195="",J195=""),"",IF(H195="",IF(NOW()&gt;J195,"Sans réponse","En cours"),IF(ROUND((H195-J195)*1440,0)&lt;=0,"À temps","En retard")))</f>
        <v/>
      </c>
      <c r="M195" s="6" t="n"/>
      <c r="N195" s="5" t="n"/>
    </row>
    <row r="196">
      <c r="A196" s="11" t="n"/>
      <c r="B196" s="5" t="n"/>
      <c r="C196" s="5" t="n"/>
      <c r="D196" s="5" t="n"/>
      <c r="E196" s="9">
        <f>IF(C196="","",IFERROR(VLOOKUP(C196,'Tableau de routage'!$A$5:$L$29,3,FALSE),""))</f>
        <v/>
      </c>
      <c r="F196" s="9">
        <f>IF(C196="","",IFERROR(VLOOKUP(C196,'Tableau de routage'!$A$5:$L$29,4,FALSE),""))</f>
        <v/>
      </c>
      <c r="G196" s="6" t="n"/>
      <c r="H196" s="11" t="n"/>
      <c r="I196" s="9">
        <f>IF(A196="","",IF(AND(WEEKDAY(A196,2)&lt;=5,COUNTIF('Horaires'!$A$9:$A$38,INT(A196))=0,MOD(A196,1)&gt;='Horaires'!$B$4,MOD(A196,1)&lt;'Horaires'!$B$5),"Oui","Non"))</f>
        <v/>
      </c>
      <c r="J196" s="12">
        <f>IF(OR(A196="",C196=""),"",IFERROR(IF(I196="Oui",A196+VLOOKUP(C196,'Tableau de routage'!$A$5:$L$29,6,FALSE)/1440,IF(AND(WEEKDAY(A196,2)&lt;=5,COUNTIF('Horaires'!$A$9:$A$38,INT(A196))=0,MOD(A196,1)&lt;'Horaires'!$B$4),INT(A196),WORKDAY(INT(A196),1,'Horaires'!$A$9:$A$38))+VLOOKUP(C196,'Tableau de routage'!$A$5:$L$29,7,FALSE)),""))</f>
        <v/>
      </c>
      <c r="K196" s="9">
        <f>IF(OR(A196="",H196=""),"",ROUND((H196-A196)*1440,0))</f>
        <v/>
      </c>
      <c r="L196" s="8">
        <f>IF(OR(A196="",J196=""),"",IF(H196="",IF(NOW()&gt;J196,"Sans réponse","En cours"),IF(ROUND((H196-J196)*1440,0)&lt;=0,"À temps","En retard")))</f>
        <v/>
      </c>
      <c r="M196" s="6" t="n"/>
      <c r="N196" s="5" t="n"/>
    </row>
    <row r="197">
      <c r="A197" s="11" t="n"/>
      <c r="B197" s="5" t="n"/>
      <c r="C197" s="5" t="n"/>
      <c r="D197" s="5" t="n"/>
      <c r="E197" s="9">
        <f>IF(C197="","",IFERROR(VLOOKUP(C197,'Tableau de routage'!$A$5:$L$29,3,FALSE),""))</f>
        <v/>
      </c>
      <c r="F197" s="9">
        <f>IF(C197="","",IFERROR(VLOOKUP(C197,'Tableau de routage'!$A$5:$L$29,4,FALSE),""))</f>
        <v/>
      </c>
      <c r="G197" s="6" t="n"/>
      <c r="H197" s="11" t="n"/>
      <c r="I197" s="9">
        <f>IF(A197="","",IF(AND(WEEKDAY(A197,2)&lt;=5,COUNTIF('Horaires'!$A$9:$A$38,INT(A197))=0,MOD(A197,1)&gt;='Horaires'!$B$4,MOD(A197,1)&lt;'Horaires'!$B$5),"Oui","Non"))</f>
        <v/>
      </c>
      <c r="J197" s="12">
        <f>IF(OR(A197="",C197=""),"",IFERROR(IF(I197="Oui",A197+VLOOKUP(C197,'Tableau de routage'!$A$5:$L$29,6,FALSE)/1440,IF(AND(WEEKDAY(A197,2)&lt;=5,COUNTIF('Horaires'!$A$9:$A$38,INT(A197))=0,MOD(A197,1)&lt;'Horaires'!$B$4),INT(A197),WORKDAY(INT(A197),1,'Horaires'!$A$9:$A$38))+VLOOKUP(C197,'Tableau de routage'!$A$5:$L$29,7,FALSE)),""))</f>
        <v/>
      </c>
      <c r="K197" s="9">
        <f>IF(OR(A197="",H197=""),"",ROUND((H197-A197)*1440,0))</f>
        <v/>
      </c>
      <c r="L197" s="8">
        <f>IF(OR(A197="",J197=""),"",IF(H197="",IF(NOW()&gt;J197,"Sans réponse","En cours"),IF(ROUND((H197-J197)*1440,0)&lt;=0,"À temps","En retard")))</f>
        <v/>
      </c>
      <c r="M197" s="6" t="n"/>
      <c r="N197" s="5" t="n"/>
    </row>
    <row r="198">
      <c r="A198" s="11" t="n"/>
      <c r="B198" s="5" t="n"/>
      <c r="C198" s="5" t="n"/>
      <c r="D198" s="5" t="n"/>
      <c r="E198" s="9">
        <f>IF(C198="","",IFERROR(VLOOKUP(C198,'Tableau de routage'!$A$5:$L$29,3,FALSE),""))</f>
        <v/>
      </c>
      <c r="F198" s="9">
        <f>IF(C198="","",IFERROR(VLOOKUP(C198,'Tableau de routage'!$A$5:$L$29,4,FALSE),""))</f>
        <v/>
      </c>
      <c r="G198" s="6" t="n"/>
      <c r="H198" s="11" t="n"/>
      <c r="I198" s="9">
        <f>IF(A198="","",IF(AND(WEEKDAY(A198,2)&lt;=5,COUNTIF('Horaires'!$A$9:$A$38,INT(A198))=0,MOD(A198,1)&gt;='Horaires'!$B$4,MOD(A198,1)&lt;'Horaires'!$B$5),"Oui","Non"))</f>
        <v/>
      </c>
      <c r="J198" s="12">
        <f>IF(OR(A198="",C198=""),"",IFERROR(IF(I198="Oui",A198+VLOOKUP(C198,'Tableau de routage'!$A$5:$L$29,6,FALSE)/1440,IF(AND(WEEKDAY(A198,2)&lt;=5,COUNTIF('Horaires'!$A$9:$A$38,INT(A198))=0,MOD(A198,1)&lt;'Horaires'!$B$4),INT(A198),WORKDAY(INT(A198),1,'Horaires'!$A$9:$A$38))+VLOOKUP(C198,'Tableau de routage'!$A$5:$L$29,7,FALSE)),""))</f>
        <v/>
      </c>
      <c r="K198" s="9">
        <f>IF(OR(A198="",H198=""),"",ROUND((H198-A198)*1440,0))</f>
        <v/>
      </c>
      <c r="L198" s="8">
        <f>IF(OR(A198="",J198=""),"",IF(H198="",IF(NOW()&gt;J198,"Sans réponse","En cours"),IF(ROUND((H198-J198)*1440,0)&lt;=0,"À temps","En retard")))</f>
        <v/>
      </c>
      <c r="M198" s="6" t="n"/>
      <c r="N198" s="5" t="n"/>
    </row>
    <row r="199">
      <c r="A199" s="11" t="n"/>
      <c r="B199" s="5" t="n"/>
      <c r="C199" s="5" t="n"/>
      <c r="D199" s="5" t="n"/>
      <c r="E199" s="9">
        <f>IF(C199="","",IFERROR(VLOOKUP(C199,'Tableau de routage'!$A$5:$L$29,3,FALSE),""))</f>
        <v/>
      </c>
      <c r="F199" s="9">
        <f>IF(C199="","",IFERROR(VLOOKUP(C199,'Tableau de routage'!$A$5:$L$29,4,FALSE),""))</f>
        <v/>
      </c>
      <c r="G199" s="6" t="n"/>
      <c r="H199" s="11" t="n"/>
      <c r="I199" s="9">
        <f>IF(A199="","",IF(AND(WEEKDAY(A199,2)&lt;=5,COUNTIF('Horaires'!$A$9:$A$38,INT(A199))=0,MOD(A199,1)&gt;='Horaires'!$B$4,MOD(A199,1)&lt;'Horaires'!$B$5),"Oui","Non"))</f>
        <v/>
      </c>
      <c r="J199" s="12">
        <f>IF(OR(A199="",C199=""),"",IFERROR(IF(I199="Oui",A199+VLOOKUP(C199,'Tableau de routage'!$A$5:$L$29,6,FALSE)/1440,IF(AND(WEEKDAY(A199,2)&lt;=5,COUNTIF('Horaires'!$A$9:$A$38,INT(A199))=0,MOD(A199,1)&lt;'Horaires'!$B$4),INT(A199),WORKDAY(INT(A199),1,'Horaires'!$A$9:$A$38))+VLOOKUP(C199,'Tableau de routage'!$A$5:$L$29,7,FALSE)),""))</f>
        <v/>
      </c>
      <c r="K199" s="9">
        <f>IF(OR(A199="",H199=""),"",ROUND((H199-A199)*1440,0))</f>
        <v/>
      </c>
      <c r="L199" s="8">
        <f>IF(OR(A199="",J199=""),"",IF(H199="",IF(NOW()&gt;J199,"Sans réponse","En cours"),IF(ROUND((H199-J199)*1440,0)&lt;=0,"À temps","En retard")))</f>
        <v/>
      </c>
      <c r="M199" s="6" t="n"/>
      <c r="N199" s="5" t="n"/>
    </row>
    <row r="200">
      <c r="A200" s="11" t="n"/>
      <c r="B200" s="5" t="n"/>
      <c r="C200" s="5" t="n"/>
      <c r="D200" s="5" t="n"/>
      <c r="E200" s="9">
        <f>IF(C200="","",IFERROR(VLOOKUP(C200,'Tableau de routage'!$A$5:$L$29,3,FALSE),""))</f>
        <v/>
      </c>
      <c r="F200" s="9">
        <f>IF(C200="","",IFERROR(VLOOKUP(C200,'Tableau de routage'!$A$5:$L$29,4,FALSE),""))</f>
        <v/>
      </c>
      <c r="G200" s="6" t="n"/>
      <c r="H200" s="11" t="n"/>
      <c r="I200" s="9">
        <f>IF(A200="","",IF(AND(WEEKDAY(A200,2)&lt;=5,COUNTIF('Horaires'!$A$9:$A$38,INT(A200))=0,MOD(A200,1)&gt;='Horaires'!$B$4,MOD(A200,1)&lt;'Horaires'!$B$5),"Oui","Non"))</f>
        <v/>
      </c>
      <c r="J200" s="12">
        <f>IF(OR(A200="",C200=""),"",IFERROR(IF(I200="Oui",A200+VLOOKUP(C200,'Tableau de routage'!$A$5:$L$29,6,FALSE)/1440,IF(AND(WEEKDAY(A200,2)&lt;=5,COUNTIF('Horaires'!$A$9:$A$38,INT(A200))=0,MOD(A200,1)&lt;'Horaires'!$B$4),INT(A200),WORKDAY(INT(A200),1,'Horaires'!$A$9:$A$38))+VLOOKUP(C200,'Tableau de routage'!$A$5:$L$29,7,FALSE)),""))</f>
        <v/>
      </c>
      <c r="K200" s="9">
        <f>IF(OR(A200="",H200=""),"",ROUND((H200-A200)*1440,0))</f>
        <v/>
      </c>
      <c r="L200" s="8">
        <f>IF(OR(A200="",J200=""),"",IF(H200="",IF(NOW()&gt;J200,"Sans réponse","En cours"),IF(ROUND((H200-J200)*1440,0)&lt;=0,"À temps","En retard")))</f>
        <v/>
      </c>
      <c r="M200" s="6" t="n"/>
      <c r="N200" s="5" t="n"/>
    </row>
    <row r="201">
      <c r="A201" s="11" t="n"/>
      <c r="B201" s="5" t="n"/>
      <c r="C201" s="5" t="n"/>
      <c r="D201" s="5" t="n"/>
      <c r="E201" s="9">
        <f>IF(C201="","",IFERROR(VLOOKUP(C201,'Tableau de routage'!$A$5:$L$29,3,FALSE),""))</f>
        <v/>
      </c>
      <c r="F201" s="9">
        <f>IF(C201="","",IFERROR(VLOOKUP(C201,'Tableau de routage'!$A$5:$L$29,4,FALSE),""))</f>
        <v/>
      </c>
      <c r="G201" s="6" t="n"/>
      <c r="H201" s="11" t="n"/>
      <c r="I201" s="9">
        <f>IF(A201="","",IF(AND(WEEKDAY(A201,2)&lt;=5,COUNTIF('Horaires'!$A$9:$A$38,INT(A201))=0,MOD(A201,1)&gt;='Horaires'!$B$4,MOD(A201,1)&lt;'Horaires'!$B$5),"Oui","Non"))</f>
        <v/>
      </c>
      <c r="J201" s="12">
        <f>IF(OR(A201="",C201=""),"",IFERROR(IF(I201="Oui",A201+VLOOKUP(C201,'Tableau de routage'!$A$5:$L$29,6,FALSE)/1440,IF(AND(WEEKDAY(A201,2)&lt;=5,COUNTIF('Horaires'!$A$9:$A$38,INT(A201))=0,MOD(A201,1)&lt;'Horaires'!$B$4),INT(A201),WORKDAY(INT(A201),1,'Horaires'!$A$9:$A$38))+VLOOKUP(C201,'Tableau de routage'!$A$5:$L$29,7,FALSE)),""))</f>
        <v/>
      </c>
      <c r="K201" s="9">
        <f>IF(OR(A201="",H201=""),"",ROUND((H201-A201)*1440,0))</f>
        <v/>
      </c>
      <c r="L201" s="8">
        <f>IF(OR(A201="",J201=""),"",IF(H201="",IF(NOW()&gt;J201,"Sans réponse","En cours"),IF(ROUND((H201-J201)*1440,0)&lt;=0,"À temps","En retard")))</f>
        <v/>
      </c>
      <c r="M201" s="6" t="n"/>
      <c r="N201" s="5" t="n"/>
    </row>
    <row r="202">
      <c r="A202" s="11" t="n"/>
      <c r="B202" s="5" t="n"/>
      <c r="C202" s="5" t="n"/>
      <c r="D202" s="5" t="n"/>
      <c r="E202" s="9">
        <f>IF(C202="","",IFERROR(VLOOKUP(C202,'Tableau de routage'!$A$5:$L$29,3,FALSE),""))</f>
        <v/>
      </c>
      <c r="F202" s="9">
        <f>IF(C202="","",IFERROR(VLOOKUP(C202,'Tableau de routage'!$A$5:$L$29,4,FALSE),""))</f>
        <v/>
      </c>
      <c r="G202" s="6" t="n"/>
      <c r="H202" s="11" t="n"/>
      <c r="I202" s="9">
        <f>IF(A202="","",IF(AND(WEEKDAY(A202,2)&lt;=5,COUNTIF('Horaires'!$A$9:$A$38,INT(A202))=0,MOD(A202,1)&gt;='Horaires'!$B$4,MOD(A202,1)&lt;'Horaires'!$B$5),"Oui","Non"))</f>
        <v/>
      </c>
      <c r="J202" s="12">
        <f>IF(OR(A202="",C202=""),"",IFERROR(IF(I202="Oui",A202+VLOOKUP(C202,'Tableau de routage'!$A$5:$L$29,6,FALSE)/1440,IF(AND(WEEKDAY(A202,2)&lt;=5,COUNTIF('Horaires'!$A$9:$A$38,INT(A202))=0,MOD(A202,1)&lt;'Horaires'!$B$4),INT(A202),WORKDAY(INT(A202),1,'Horaires'!$A$9:$A$38))+VLOOKUP(C202,'Tableau de routage'!$A$5:$L$29,7,FALSE)),""))</f>
        <v/>
      </c>
      <c r="K202" s="9">
        <f>IF(OR(A202="",H202=""),"",ROUND((H202-A202)*1440,0))</f>
        <v/>
      </c>
      <c r="L202" s="8">
        <f>IF(OR(A202="",J202=""),"",IF(H202="",IF(NOW()&gt;J202,"Sans réponse","En cours"),IF(ROUND((H202-J202)*1440,0)&lt;=0,"À temps","En retard")))</f>
        <v/>
      </c>
      <c r="M202" s="6" t="n"/>
      <c r="N202" s="5" t="n"/>
    </row>
    <row r="203">
      <c r="A203" s="11" t="n"/>
      <c r="B203" s="5" t="n"/>
      <c r="C203" s="5" t="n"/>
      <c r="D203" s="5" t="n"/>
      <c r="E203" s="9">
        <f>IF(C203="","",IFERROR(VLOOKUP(C203,'Tableau de routage'!$A$5:$L$29,3,FALSE),""))</f>
        <v/>
      </c>
      <c r="F203" s="9">
        <f>IF(C203="","",IFERROR(VLOOKUP(C203,'Tableau de routage'!$A$5:$L$29,4,FALSE),""))</f>
        <v/>
      </c>
      <c r="G203" s="6" t="n"/>
      <c r="H203" s="11" t="n"/>
      <c r="I203" s="9">
        <f>IF(A203="","",IF(AND(WEEKDAY(A203,2)&lt;=5,COUNTIF('Horaires'!$A$9:$A$38,INT(A203))=0,MOD(A203,1)&gt;='Horaires'!$B$4,MOD(A203,1)&lt;'Horaires'!$B$5),"Oui","Non"))</f>
        <v/>
      </c>
      <c r="J203" s="12">
        <f>IF(OR(A203="",C203=""),"",IFERROR(IF(I203="Oui",A203+VLOOKUP(C203,'Tableau de routage'!$A$5:$L$29,6,FALSE)/1440,IF(AND(WEEKDAY(A203,2)&lt;=5,COUNTIF('Horaires'!$A$9:$A$38,INT(A203))=0,MOD(A203,1)&lt;'Horaires'!$B$4),INT(A203),WORKDAY(INT(A203),1,'Horaires'!$A$9:$A$38))+VLOOKUP(C203,'Tableau de routage'!$A$5:$L$29,7,FALSE)),""))</f>
        <v/>
      </c>
      <c r="K203" s="9">
        <f>IF(OR(A203="",H203=""),"",ROUND((H203-A203)*1440,0))</f>
        <v/>
      </c>
      <c r="L203" s="8">
        <f>IF(OR(A203="",J203=""),"",IF(H203="",IF(NOW()&gt;J203,"Sans réponse","En cours"),IF(ROUND((H203-J203)*1440,0)&lt;=0,"À temps","En retard")))</f>
        <v/>
      </c>
      <c r="M203" s="6" t="n"/>
      <c r="N203" s="5" t="n"/>
    </row>
    <row r="204">
      <c r="A204" s="11" t="n"/>
      <c r="B204" s="5" t="n"/>
      <c r="C204" s="5" t="n"/>
      <c r="D204" s="5" t="n"/>
      <c r="E204" s="9">
        <f>IF(C204="","",IFERROR(VLOOKUP(C204,'Tableau de routage'!$A$5:$L$29,3,FALSE),""))</f>
        <v/>
      </c>
      <c r="F204" s="9">
        <f>IF(C204="","",IFERROR(VLOOKUP(C204,'Tableau de routage'!$A$5:$L$29,4,FALSE),""))</f>
        <v/>
      </c>
      <c r="G204" s="6" t="n"/>
      <c r="H204" s="11" t="n"/>
      <c r="I204" s="9">
        <f>IF(A204="","",IF(AND(WEEKDAY(A204,2)&lt;=5,COUNTIF('Horaires'!$A$9:$A$38,INT(A204))=0,MOD(A204,1)&gt;='Horaires'!$B$4,MOD(A204,1)&lt;'Horaires'!$B$5),"Oui","Non"))</f>
        <v/>
      </c>
      <c r="J204" s="12">
        <f>IF(OR(A204="",C204=""),"",IFERROR(IF(I204="Oui",A204+VLOOKUP(C204,'Tableau de routage'!$A$5:$L$29,6,FALSE)/1440,IF(AND(WEEKDAY(A204,2)&lt;=5,COUNTIF('Horaires'!$A$9:$A$38,INT(A204))=0,MOD(A204,1)&lt;'Horaires'!$B$4),INT(A204),WORKDAY(INT(A204),1,'Horaires'!$A$9:$A$38))+VLOOKUP(C204,'Tableau de routage'!$A$5:$L$29,7,FALSE)),""))</f>
        <v/>
      </c>
      <c r="K204" s="9">
        <f>IF(OR(A204="",H204=""),"",ROUND((H204-A204)*1440,0))</f>
        <v/>
      </c>
      <c r="L204" s="8">
        <f>IF(OR(A204="",J204=""),"",IF(H204="",IF(NOW()&gt;J204,"Sans réponse","En cours"),IF(ROUND((H204-J204)*1440,0)&lt;=0,"À temps","En retard")))</f>
        <v/>
      </c>
      <c r="M204" s="6" t="n"/>
      <c r="N204" s="5" t="n"/>
    </row>
  </sheetData>
  <autoFilter ref="A4:N204"/>
  <conditionalFormatting sqref="L5:L204">
    <cfRule type="expression" priority="1" dxfId="0">
      <formula>$L5="À temps"</formula>
    </cfRule>
    <cfRule type="expression" priority="2" dxfId="2">
      <formula>$L5="En retard"</formula>
    </cfRule>
    <cfRule type="expression" priority="3" dxfId="1">
      <formula>$L5="Sans réponse"</formula>
    </cfRule>
    <cfRule type="expression" priority="4" dxfId="3">
      <formula>$L5="En cours"</formula>
    </cfRule>
  </conditionalFormatting>
  <dataValidations count="3">
    <dataValidation sqref="C5:C204" showDropDown="0" showInputMessage="0" showErrorMessage="1" allowBlank="1" type="list">
      <formula1>='Tableau de routage'!$A$5:$A$29</formula1>
    </dataValidation>
    <dataValidation sqref="G5:G204" showDropDown="0" showInputMessage="0" showErrorMessage="0" allowBlank="1" type="list">
      <formula1>='Horaires'!$D$9:$D$20</formula1>
    </dataValidation>
    <dataValidation sqref="M5:M204" showDropDown="0" showInputMessage="0" showErrorMessage="1" allowBlank="1" type="list">
      <formula1>=$P$5:$P$6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5" customWidth="1" min="3" max="3"/>
    <col width="15" customWidth="1" min="4" max="4"/>
    <col width="10" customWidth="1" min="5" max="5"/>
    <col width="34" customWidth="1" min="6" max="6"/>
    <col width="13" customWidth="1" min="7" max="7"/>
    <col width="14" customWidth="1" min="8" max="8"/>
    <col width="13" customWidth="1" min="9" max="9"/>
    <col width="14" customWidth="1" min="10" max="10"/>
    <col width="34" customWidth="1" min="11" max="11"/>
    <col hidden="1" width="13" customWidth="1" min="13" max="13"/>
    <col hidden="1" width="13" customWidth="1" min="14" max="14"/>
  </cols>
  <sheetData>
    <row r="1">
      <c r="A1" s="1" t="inlineStr">
        <is>
          <t>Changements de canal</t>
        </is>
      </c>
    </row>
    <row r="2">
      <c r="A2" s="2" t="inlineStr">
        <is>
          <t>Une ligne chaque fois qu’une conversation passe sur un autre canal. Le statut n’indique Complet que lorsque le consentement, le résumé, le responsable du relais et la confirmation sont tous faits.</t>
        </is>
      </c>
    </row>
    <row r="4" ht="44" customHeight="1">
      <c r="A4" s="3" t="inlineStr">
        <is>
          <t>Date</t>
        </is>
      </c>
      <c r="B4" s="3" t="inlineStr">
        <is>
          <t>Client</t>
        </is>
      </c>
      <c r="C4" s="3" t="inlineStr">
        <is>
          <t>Canal d’origine</t>
        </is>
      </c>
      <c r="D4" s="3" t="inlineStr">
        <is>
          <t>Nouveau canal</t>
        </is>
      </c>
      <c r="E4" s="3" t="inlineStr">
        <is>
          <t>Consentement</t>
        </is>
      </c>
      <c r="F4" s="3" t="inlineStr">
        <is>
          <t>Comment le consentement a été donné</t>
        </is>
      </c>
      <c r="G4" s="3" t="inlineStr">
        <is>
          <t>Résumé de l’historique envoyé</t>
        </is>
      </c>
      <c r="H4" s="3" t="inlineStr">
        <is>
          <t>Responsable du relais</t>
        </is>
      </c>
      <c r="I4" s="3" t="inlineStr">
        <is>
          <t>Confirmé avec le client</t>
        </is>
      </c>
      <c r="J4" s="3" t="inlineStr">
        <is>
          <t>Statut</t>
        </is>
      </c>
      <c r="K4" s="3" t="inlineStr">
        <is>
          <t>Note</t>
        </is>
      </c>
    </row>
    <row r="5">
      <c r="A5" s="13" t="n">
        <v>46296</v>
      </c>
      <c r="B5" s="5" t="inlineStr">
        <is>
          <t>Dev Patel</t>
        </is>
      </c>
      <c r="C5" s="6" t="inlineStr">
        <is>
          <t>WhatsApp</t>
        </is>
      </c>
      <c r="D5" s="6" t="inlineStr">
        <is>
          <t>E-mail</t>
        </is>
      </c>
      <c r="E5" s="6" t="inlineStr">
        <is>
          <t>Oui</t>
        </is>
      </c>
      <c r="F5" s="5" t="inlineStr">
        <is>
          <t>A demandé la facture par e-mail</t>
        </is>
      </c>
      <c r="G5" s="6" t="inlineStr">
        <is>
          <t>Oui</t>
        </is>
      </c>
      <c r="H5" s="6" t="inlineStr">
        <is>
          <t>Nadia</t>
        </is>
      </c>
      <c r="I5" s="6" t="inlineStr">
        <is>
          <t>Oui</t>
        </is>
      </c>
      <c r="J5" s="8">
        <f>IF(B5="","",IF(E5="Non","Sans consentement",IF(AND(E5="Oui",G5="Oui",H5&lt;&gt;"",I5="Oui"),"Complet","Étape manquante")))</f>
        <v/>
      </c>
      <c r="K5" s="5" t="inlineStr">
        <is>
          <t>Facture de septembre envoyée</t>
        </is>
      </c>
      <c r="M5" s="10" t="inlineStr">
        <is>
          <t>Chat du site</t>
        </is>
      </c>
      <c r="N5" s="10" t="inlineStr">
        <is>
          <t>Oui</t>
        </is>
      </c>
    </row>
    <row r="6">
      <c r="A6" s="13" t="n">
        <v>46300</v>
      </c>
      <c r="B6" s="5" t="inlineStr">
        <is>
          <t>Leo Grant, Ash Street Studios</t>
        </is>
      </c>
      <c r="C6" s="6" t="inlineStr">
        <is>
          <t>Chat du site</t>
        </is>
      </c>
      <c r="D6" s="6" t="inlineStr">
        <is>
          <t>Appel téléphonique</t>
        </is>
      </c>
      <c r="E6" s="6" t="inlineStr">
        <is>
          <t>Non</t>
        </is>
      </c>
      <c r="F6" s="5" t="inlineStr">
        <is>
          <t>A préféré rester dans le chat</t>
        </is>
      </c>
      <c r="G6" s="6" t="n"/>
      <c r="H6" s="6" t="n"/>
      <c r="I6" s="6" t="n"/>
      <c r="J6" s="8">
        <f>IF(B6="","",IF(E6="Non","Sans consentement",IF(AND(E6="Oui",G6="Oui",H6&lt;&gt;"",I6="Oui"),"Complet","Étape manquante")))</f>
        <v/>
      </c>
      <c r="K6" s="5" t="inlineStr">
        <is>
          <t>Nadia a répondu dans le chat</t>
        </is>
      </c>
      <c r="M6" s="10" t="inlineStr">
        <is>
          <t>WhatsApp</t>
        </is>
      </c>
      <c r="N6" s="10" t="inlineStr">
        <is>
          <t>Non</t>
        </is>
      </c>
    </row>
    <row r="7">
      <c r="A7" s="13" t="n">
        <v>46301</v>
      </c>
      <c r="B7" s="5" t="inlineStr">
        <is>
          <t>Ivy Chen</t>
        </is>
      </c>
      <c r="C7" s="6" t="inlineStr">
        <is>
          <t>Chat du site</t>
        </is>
      </c>
      <c r="D7" s="6" t="inlineStr">
        <is>
          <t>E-mail</t>
        </is>
      </c>
      <c r="E7" s="6" t="inlineStr">
        <is>
          <t>Oui</t>
        </is>
      </c>
      <c r="F7" s="5" t="inlineStr">
        <is>
          <t>A donné son e-mail pour un nouveau code promo</t>
        </is>
      </c>
      <c r="G7" s="6" t="inlineStr">
        <is>
          <t>Non</t>
        </is>
      </c>
      <c r="H7" s="6" t="inlineStr">
        <is>
          <t>Mara</t>
        </is>
      </c>
      <c r="I7" s="6" t="inlineStr">
        <is>
          <t>Oui</t>
        </is>
      </c>
      <c r="J7" s="8">
        <f>IF(B7="","",IF(E7="Non","Sans consentement",IF(AND(E7="Oui",G7="Oui",H7&lt;&gt;"",I7="Oui"),"Complet","Étape manquante")))</f>
        <v/>
      </c>
      <c r="K7" s="5" t="inlineStr">
        <is>
          <t>Code envoyé sans le résumé du chat</t>
        </is>
      </c>
      <c r="M7" s="10" t="inlineStr">
        <is>
          <t>Instagram</t>
        </is>
      </c>
    </row>
    <row r="8">
      <c r="A8" s="13" t="n">
        <v>46303</v>
      </c>
      <c r="B8" s="5" t="inlineStr">
        <is>
          <t>Jordan Ellis, Fieldnote Architects</t>
        </is>
      </c>
      <c r="C8" s="6" t="inlineStr">
        <is>
          <t>Chat du site</t>
        </is>
      </c>
      <c r="D8" s="6" t="inlineStr">
        <is>
          <t>Appel téléphonique</t>
        </is>
      </c>
      <c r="E8" s="6" t="inlineStr">
        <is>
          <t>Oui</t>
        </is>
      </c>
      <c r="F8" s="5" t="inlineStr">
        <is>
          <t>A accepté dans le chat un appel à 14 h 30</t>
        </is>
      </c>
      <c r="G8" s="6" t="inlineStr">
        <is>
          <t>Oui</t>
        </is>
      </c>
      <c r="H8" s="6" t="inlineStr">
        <is>
          <t>Nadia</t>
        </is>
      </c>
      <c r="I8" s="6" t="inlineStr">
        <is>
          <t>Oui</t>
        </is>
      </c>
      <c r="J8" s="8">
        <f>IF(B8="","",IF(E8="Non","Sans consentement",IF(AND(E8="Oui",G8="Oui",H8&lt;&gt;"",I8="Oui"),"Complet","Étape manquante")))</f>
        <v/>
      </c>
      <c r="K8" s="5" t="inlineStr">
        <is>
          <t>Nadia a appelé à 14 h 30</t>
        </is>
      </c>
      <c r="M8" s="10" t="inlineStr">
        <is>
          <t>Messenger</t>
        </is>
      </c>
    </row>
    <row r="9">
      <c r="A9" s="13" t="n"/>
      <c r="B9" s="5" t="n"/>
      <c r="C9" s="6" t="n"/>
      <c r="D9" s="6" t="n"/>
      <c r="E9" s="6" t="n"/>
      <c r="F9" s="5" t="n"/>
      <c r="G9" s="6" t="n"/>
      <c r="H9" s="6" t="n"/>
      <c r="I9" s="6" t="n"/>
      <c r="J9" s="8">
        <f>IF(B9="","",IF(E9="Non","Sans consentement",IF(AND(E9="Oui",G9="Oui",H9&lt;&gt;"",I9="Oui"),"Complet","Étape manquante")))</f>
        <v/>
      </c>
      <c r="K9" s="5" t="n"/>
      <c r="M9" s="10" t="inlineStr">
        <is>
          <t>Telegram</t>
        </is>
      </c>
    </row>
    <row r="10">
      <c r="A10" s="13" t="n"/>
      <c r="B10" s="5" t="n"/>
      <c r="C10" s="6" t="n"/>
      <c r="D10" s="6" t="n"/>
      <c r="E10" s="6" t="n"/>
      <c r="F10" s="5" t="n"/>
      <c r="G10" s="6" t="n"/>
      <c r="H10" s="6" t="n"/>
      <c r="I10" s="6" t="n"/>
      <c r="J10" s="8">
        <f>IF(B10="","",IF(E10="Non","Sans consentement",IF(AND(E10="Oui",G10="Oui",H10&lt;&gt;"",I10="Oui"),"Complet","Étape manquante")))</f>
        <v/>
      </c>
      <c r="K10" s="5" t="n"/>
      <c r="M10" s="10" t="inlineStr">
        <is>
          <t>E-mail</t>
        </is>
      </c>
    </row>
    <row r="11">
      <c r="A11" s="13" t="n"/>
      <c r="B11" s="5" t="n"/>
      <c r="C11" s="6" t="n"/>
      <c r="D11" s="6" t="n"/>
      <c r="E11" s="6" t="n"/>
      <c r="F11" s="5" t="n"/>
      <c r="G11" s="6" t="n"/>
      <c r="H11" s="6" t="n"/>
      <c r="I11" s="6" t="n"/>
      <c r="J11" s="8">
        <f>IF(B11="","",IF(E11="Non","Sans consentement",IF(AND(E11="Oui",G11="Oui",H11&lt;&gt;"",I11="Oui"),"Complet","Étape manquante")))</f>
        <v/>
      </c>
      <c r="K11" s="5" t="n"/>
      <c r="M11" s="10" t="inlineStr">
        <is>
          <t>Appel téléphonique</t>
        </is>
      </c>
    </row>
    <row r="12">
      <c r="A12" s="13" t="n"/>
      <c r="B12" s="5" t="n"/>
      <c r="C12" s="6" t="n"/>
      <c r="D12" s="6" t="n"/>
      <c r="E12" s="6" t="n"/>
      <c r="F12" s="5" t="n"/>
      <c r="G12" s="6" t="n"/>
      <c r="H12" s="6" t="n"/>
      <c r="I12" s="6" t="n"/>
      <c r="J12" s="8">
        <f>IF(B12="","",IF(E12="Non","Sans consentement",IF(AND(E12="Oui",G12="Oui",H12&lt;&gt;"",I12="Oui"),"Complet","Étape manquante")))</f>
        <v/>
      </c>
      <c r="K12" s="5" t="n"/>
    </row>
    <row r="13">
      <c r="A13" s="13" t="n"/>
      <c r="B13" s="5" t="n"/>
      <c r="C13" s="6" t="n"/>
      <c r="D13" s="6" t="n"/>
      <c r="E13" s="6" t="n"/>
      <c r="F13" s="5" t="n"/>
      <c r="G13" s="6" t="n"/>
      <c r="H13" s="6" t="n"/>
      <c r="I13" s="6" t="n"/>
      <c r="J13" s="8">
        <f>IF(B13="","",IF(E13="Non","Sans consentement",IF(AND(E13="Oui",G13="Oui",H13&lt;&gt;"",I13="Oui"),"Complet","Étape manquante")))</f>
        <v/>
      </c>
      <c r="K13" s="5" t="n"/>
    </row>
    <row r="14">
      <c r="A14" s="13" t="n"/>
      <c r="B14" s="5" t="n"/>
      <c r="C14" s="6" t="n"/>
      <c r="D14" s="6" t="n"/>
      <c r="E14" s="6" t="n"/>
      <c r="F14" s="5" t="n"/>
      <c r="G14" s="6" t="n"/>
      <c r="H14" s="6" t="n"/>
      <c r="I14" s="6" t="n"/>
      <c r="J14" s="8">
        <f>IF(B14="","",IF(E14="Non","Sans consentement",IF(AND(E14="Oui",G14="Oui",H14&lt;&gt;"",I14="Oui"),"Complet","Étape manquante")))</f>
        <v/>
      </c>
      <c r="K14" s="5" t="n"/>
    </row>
    <row r="15">
      <c r="A15" s="13" t="n"/>
      <c r="B15" s="5" t="n"/>
      <c r="C15" s="6" t="n"/>
      <c r="D15" s="6" t="n"/>
      <c r="E15" s="6" t="n"/>
      <c r="F15" s="5" t="n"/>
      <c r="G15" s="6" t="n"/>
      <c r="H15" s="6" t="n"/>
      <c r="I15" s="6" t="n"/>
      <c r="J15" s="8">
        <f>IF(B15="","",IF(E15="Non","Sans consentement",IF(AND(E15="Oui",G15="Oui",H15&lt;&gt;"",I15="Oui"),"Complet","Étape manquante")))</f>
        <v/>
      </c>
      <c r="K15" s="5" t="n"/>
    </row>
    <row r="16">
      <c r="A16" s="13" t="n"/>
      <c r="B16" s="5" t="n"/>
      <c r="C16" s="6" t="n"/>
      <c r="D16" s="6" t="n"/>
      <c r="E16" s="6" t="n"/>
      <c r="F16" s="5" t="n"/>
      <c r="G16" s="6" t="n"/>
      <c r="H16" s="6" t="n"/>
      <c r="I16" s="6" t="n"/>
      <c r="J16" s="8">
        <f>IF(B16="","",IF(E16="Non","Sans consentement",IF(AND(E16="Oui",G16="Oui",H16&lt;&gt;"",I16="Oui"),"Complet","Étape manquante")))</f>
        <v/>
      </c>
      <c r="K16" s="5" t="n"/>
    </row>
    <row r="17">
      <c r="A17" s="13" t="n"/>
      <c r="B17" s="5" t="n"/>
      <c r="C17" s="6" t="n"/>
      <c r="D17" s="6" t="n"/>
      <c r="E17" s="6" t="n"/>
      <c r="F17" s="5" t="n"/>
      <c r="G17" s="6" t="n"/>
      <c r="H17" s="6" t="n"/>
      <c r="I17" s="6" t="n"/>
      <c r="J17" s="8">
        <f>IF(B17="","",IF(E17="Non","Sans consentement",IF(AND(E17="Oui",G17="Oui",H17&lt;&gt;"",I17="Oui"),"Complet","Étape manquante")))</f>
        <v/>
      </c>
      <c r="K17" s="5" t="n"/>
    </row>
    <row r="18">
      <c r="A18" s="13" t="n"/>
      <c r="B18" s="5" t="n"/>
      <c r="C18" s="6" t="n"/>
      <c r="D18" s="6" t="n"/>
      <c r="E18" s="6" t="n"/>
      <c r="F18" s="5" t="n"/>
      <c r="G18" s="6" t="n"/>
      <c r="H18" s="6" t="n"/>
      <c r="I18" s="6" t="n"/>
      <c r="J18" s="8">
        <f>IF(B18="","",IF(E18="Non","Sans consentement",IF(AND(E18="Oui",G18="Oui",H18&lt;&gt;"",I18="Oui"),"Complet","Étape manquante")))</f>
        <v/>
      </c>
      <c r="K18" s="5" t="n"/>
    </row>
    <row r="19">
      <c r="A19" s="13" t="n"/>
      <c r="B19" s="5" t="n"/>
      <c r="C19" s="6" t="n"/>
      <c r="D19" s="6" t="n"/>
      <c r="E19" s="6" t="n"/>
      <c r="F19" s="5" t="n"/>
      <c r="G19" s="6" t="n"/>
      <c r="H19" s="6" t="n"/>
      <c r="I19" s="6" t="n"/>
      <c r="J19" s="8">
        <f>IF(B19="","",IF(E19="Non","Sans consentement",IF(AND(E19="Oui",G19="Oui",H19&lt;&gt;"",I19="Oui"),"Complet","Étape manquante")))</f>
        <v/>
      </c>
      <c r="K19" s="5" t="n"/>
    </row>
    <row r="20">
      <c r="A20" s="13" t="n"/>
      <c r="B20" s="5" t="n"/>
      <c r="C20" s="6" t="n"/>
      <c r="D20" s="6" t="n"/>
      <c r="E20" s="6" t="n"/>
      <c r="F20" s="5" t="n"/>
      <c r="G20" s="6" t="n"/>
      <c r="H20" s="6" t="n"/>
      <c r="I20" s="6" t="n"/>
      <c r="J20" s="8">
        <f>IF(B20="","",IF(E20="Non","Sans consentement",IF(AND(E20="Oui",G20="Oui",H20&lt;&gt;"",I20="Oui"),"Complet","Étape manquante")))</f>
        <v/>
      </c>
      <c r="K20" s="5" t="n"/>
    </row>
    <row r="21">
      <c r="A21" s="13" t="n"/>
      <c r="B21" s="5" t="n"/>
      <c r="C21" s="6" t="n"/>
      <c r="D21" s="6" t="n"/>
      <c r="E21" s="6" t="n"/>
      <c r="F21" s="5" t="n"/>
      <c r="G21" s="6" t="n"/>
      <c r="H21" s="6" t="n"/>
      <c r="I21" s="6" t="n"/>
      <c r="J21" s="8">
        <f>IF(B21="","",IF(E21="Non","Sans consentement",IF(AND(E21="Oui",G21="Oui",H21&lt;&gt;"",I21="Oui"),"Complet","Étape manquante")))</f>
        <v/>
      </c>
      <c r="K21" s="5" t="n"/>
    </row>
    <row r="22">
      <c r="A22" s="13" t="n"/>
      <c r="B22" s="5" t="n"/>
      <c r="C22" s="6" t="n"/>
      <c r="D22" s="6" t="n"/>
      <c r="E22" s="6" t="n"/>
      <c r="F22" s="5" t="n"/>
      <c r="G22" s="6" t="n"/>
      <c r="H22" s="6" t="n"/>
      <c r="I22" s="6" t="n"/>
      <c r="J22" s="8">
        <f>IF(B22="","",IF(E22="Non","Sans consentement",IF(AND(E22="Oui",G22="Oui",H22&lt;&gt;"",I22="Oui"),"Complet","Étape manquante")))</f>
        <v/>
      </c>
      <c r="K22" s="5" t="n"/>
    </row>
    <row r="23">
      <c r="A23" s="13" t="n"/>
      <c r="B23" s="5" t="n"/>
      <c r="C23" s="6" t="n"/>
      <c r="D23" s="6" t="n"/>
      <c r="E23" s="6" t="n"/>
      <c r="F23" s="5" t="n"/>
      <c r="G23" s="6" t="n"/>
      <c r="H23" s="6" t="n"/>
      <c r="I23" s="6" t="n"/>
      <c r="J23" s="8">
        <f>IF(B23="","",IF(E23="Non","Sans consentement",IF(AND(E23="Oui",G23="Oui",H23&lt;&gt;"",I23="Oui"),"Complet","Étape manquante")))</f>
        <v/>
      </c>
      <c r="K23" s="5" t="n"/>
    </row>
    <row r="24">
      <c r="A24" s="13" t="n"/>
      <c r="B24" s="5" t="n"/>
      <c r="C24" s="6" t="n"/>
      <c r="D24" s="6" t="n"/>
      <c r="E24" s="6" t="n"/>
      <c r="F24" s="5" t="n"/>
      <c r="G24" s="6" t="n"/>
      <c r="H24" s="6" t="n"/>
      <c r="I24" s="6" t="n"/>
      <c r="J24" s="8">
        <f>IF(B24="","",IF(E24="Non","Sans consentement",IF(AND(E24="Oui",G24="Oui",H24&lt;&gt;"",I24="Oui"),"Complet","Étape manquante")))</f>
        <v/>
      </c>
      <c r="K24" s="5" t="n"/>
    </row>
    <row r="25">
      <c r="A25" s="13" t="n"/>
      <c r="B25" s="5" t="n"/>
      <c r="C25" s="6" t="n"/>
      <c r="D25" s="6" t="n"/>
      <c r="E25" s="6" t="n"/>
      <c r="F25" s="5" t="n"/>
      <c r="G25" s="6" t="n"/>
      <c r="H25" s="6" t="n"/>
      <c r="I25" s="6" t="n"/>
      <c r="J25" s="8">
        <f>IF(B25="","",IF(E25="Non","Sans consentement",IF(AND(E25="Oui",G25="Oui",H25&lt;&gt;"",I25="Oui"),"Complet","Étape manquante")))</f>
        <v/>
      </c>
      <c r="K25" s="5" t="n"/>
    </row>
    <row r="26">
      <c r="A26" s="13" t="n"/>
      <c r="B26" s="5" t="n"/>
      <c r="C26" s="6" t="n"/>
      <c r="D26" s="6" t="n"/>
      <c r="E26" s="6" t="n"/>
      <c r="F26" s="5" t="n"/>
      <c r="G26" s="6" t="n"/>
      <c r="H26" s="6" t="n"/>
      <c r="I26" s="6" t="n"/>
      <c r="J26" s="8">
        <f>IF(B26="","",IF(E26="Non","Sans consentement",IF(AND(E26="Oui",G26="Oui",H26&lt;&gt;"",I26="Oui"),"Complet","Étape manquante")))</f>
        <v/>
      </c>
      <c r="K26" s="5" t="n"/>
    </row>
    <row r="27">
      <c r="A27" s="13" t="n"/>
      <c r="B27" s="5" t="n"/>
      <c r="C27" s="6" t="n"/>
      <c r="D27" s="6" t="n"/>
      <c r="E27" s="6" t="n"/>
      <c r="F27" s="5" t="n"/>
      <c r="G27" s="6" t="n"/>
      <c r="H27" s="6" t="n"/>
      <c r="I27" s="6" t="n"/>
      <c r="J27" s="8">
        <f>IF(B27="","",IF(E27="Non","Sans consentement",IF(AND(E27="Oui",G27="Oui",H27&lt;&gt;"",I27="Oui"),"Complet","Étape manquante")))</f>
        <v/>
      </c>
      <c r="K27" s="5" t="n"/>
    </row>
    <row r="28">
      <c r="A28" s="13" t="n"/>
      <c r="B28" s="5" t="n"/>
      <c r="C28" s="6" t="n"/>
      <c r="D28" s="6" t="n"/>
      <c r="E28" s="6" t="n"/>
      <c r="F28" s="5" t="n"/>
      <c r="G28" s="6" t="n"/>
      <c r="H28" s="6" t="n"/>
      <c r="I28" s="6" t="n"/>
      <c r="J28" s="8">
        <f>IF(B28="","",IF(E28="Non","Sans consentement",IF(AND(E28="Oui",G28="Oui",H28&lt;&gt;"",I28="Oui"),"Complet","Étape manquante")))</f>
        <v/>
      </c>
      <c r="K28" s="5" t="n"/>
    </row>
    <row r="29">
      <c r="A29" s="13" t="n"/>
      <c r="B29" s="5" t="n"/>
      <c r="C29" s="6" t="n"/>
      <c r="D29" s="6" t="n"/>
      <c r="E29" s="6" t="n"/>
      <c r="F29" s="5" t="n"/>
      <c r="G29" s="6" t="n"/>
      <c r="H29" s="6" t="n"/>
      <c r="I29" s="6" t="n"/>
      <c r="J29" s="8">
        <f>IF(B29="","",IF(E29="Non","Sans consentement",IF(AND(E29="Oui",G29="Oui",H29&lt;&gt;"",I29="Oui"),"Complet","Étape manquante")))</f>
        <v/>
      </c>
      <c r="K29" s="5" t="n"/>
    </row>
    <row r="30">
      <c r="A30" s="13" t="n"/>
      <c r="B30" s="5" t="n"/>
      <c r="C30" s="6" t="n"/>
      <c r="D30" s="6" t="n"/>
      <c r="E30" s="6" t="n"/>
      <c r="F30" s="5" t="n"/>
      <c r="G30" s="6" t="n"/>
      <c r="H30" s="6" t="n"/>
      <c r="I30" s="6" t="n"/>
      <c r="J30" s="8">
        <f>IF(B30="","",IF(E30="Non","Sans consentement",IF(AND(E30="Oui",G30="Oui",H30&lt;&gt;"",I30="Oui"),"Complet","Étape manquante")))</f>
        <v/>
      </c>
      <c r="K30" s="5" t="n"/>
    </row>
    <row r="31">
      <c r="A31" s="13" t="n"/>
      <c r="B31" s="5" t="n"/>
      <c r="C31" s="6" t="n"/>
      <c r="D31" s="6" t="n"/>
      <c r="E31" s="6" t="n"/>
      <c r="F31" s="5" t="n"/>
      <c r="G31" s="6" t="n"/>
      <c r="H31" s="6" t="n"/>
      <c r="I31" s="6" t="n"/>
      <c r="J31" s="8">
        <f>IF(B31="","",IF(E31="Non","Sans consentement",IF(AND(E31="Oui",G31="Oui",H31&lt;&gt;"",I31="Oui"),"Complet","Étape manquante")))</f>
        <v/>
      </c>
      <c r="K31" s="5" t="n"/>
    </row>
    <row r="32">
      <c r="A32" s="13" t="n"/>
      <c r="B32" s="5" t="n"/>
      <c r="C32" s="6" t="n"/>
      <c r="D32" s="6" t="n"/>
      <c r="E32" s="6" t="n"/>
      <c r="F32" s="5" t="n"/>
      <c r="G32" s="6" t="n"/>
      <c r="H32" s="6" t="n"/>
      <c r="I32" s="6" t="n"/>
      <c r="J32" s="8">
        <f>IF(B32="","",IF(E32="Non","Sans consentement",IF(AND(E32="Oui",G32="Oui",H32&lt;&gt;"",I32="Oui"),"Complet","Étape manquante")))</f>
        <v/>
      </c>
      <c r="K32" s="5" t="n"/>
    </row>
    <row r="33">
      <c r="A33" s="13" t="n"/>
      <c r="B33" s="5" t="n"/>
      <c r="C33" s="6" t="n"/>
      <c r="D33" s="6" t="n"/>
      <c r="E33" s="6" t="n"/>
      <c r="F33" s="5" t="n"/>
      <c r="G33" s="6" t="n"/>
      <c r="H33" s="6" t="n"/>
      <c r="I33" s="6" t="n"/>
      <c r="J33" s="8">
        <f>IF(B33="","",IF(E33="Non","Sans consentement",IF(AND(E33="Oui",G33="Oui",H33&lt;&gt;"",I33="Oui"),"Complet","Étape manquante")))</f>
        <v/>
      </c>
      <c r="K33" s="5" t="n"/>
    </row>
    <row r="34">
      <c r="A34" s="13" t="n"/>
      <c r="B34" s="5" t="n"/>
      <c r="C34" s="6" t="n"/>
      <c r="D34" s="6" t="n"/>
      <c r="E34" s="6" t="n"/>
      <c r="F34" s="5" t="n"/>
      <c r="G34" s="6" t="n"/>
      <c r="H34" s="6" t="n"/>
      <c r="I34" s="6" t="n"/>
      <c r="J34" s="8">
        <f>IF(B34="","",IF(E34="Non","Sans consentement",IF(AND(E34="Oui",G34="Oui",H34&lt;&gt;"",I34="Oui"),"Complet","Étape manquante")))</f>
        <v/>
      </c>
      <c r="K34" s="5" t="n"/>
    </row>
    <row r="35">
      <c r="A35" s="13" t="n"/>
      <c r="B35" s="5" t="n"/>
      <c r="C35" s="6" t="n"/>
      <c r="D35" s="6" t="n"/>
      <c r="E35" s="6" t="n"/>
      <c r="F35" s="5" t="n"/>
      <c r="G35" s="6" t="n"/>
      <c r="H35" s="6" t="n"/>
      <c r="I35" s="6" t="n"/>
      <c r="J35" s="8">
        <f>IF(B35="","",IF(E35="Non","Sans consentement",IF(AND(E35="Oui",G35="Oui",H35&lt;&gt;"",I35="Oui"),"Complet","Étape manquante")))</f>
        <v/>
      </c>
      <c r="K35" s="5" t="n"/>
    </row>
    <row r="36">
      <c r="A36" s="13" t="n"/>
      <c r="B36" s="5" t="n"/>
      <c r="C36" s="6" t="n"/>
      <c r="D36" s="6" t="n"/>
      <c r="E36" s="6" t="n"/>
      <c r="F36" s="5" t="n"/>
      <c r="G36" s="6" t="n"/>
      <c r="H36" s="6" t="n"/>
      <c r="I36" s="6" t="n"/>
      <c r="J36" s="8">
        <f>IF(B36="","",IF(E36="Non","Sans consentement",IF(AND(E36="Oui",G36="Oui",H36&lt;&gt;"",I36="Oui"),"Complet","Étape manquante")))</f>
        <v/>
      </c>
      <c r="K36" s="5" t="n"/>
    </row>
    <row r="37">
      <c r="A37" s="13" t="n"/>
      <c r="B37" s="5" t="n"/>
      <c r="C37" s="6" t="n"/>
      <c r="D37" s="6" t="n"/>
      <c r="E37" s="6" t="n"/>
      <c r="F37" s="5" t="n"/>
      <c r="G37" s="6" t="n"/>
      <c r="H37" s="6" t="n"/>
      <c r="I37" s="6" t="n"/>
      <c r="J37" s="8">
        <f>IF(B37="","",IF(E37="Non","Sans consentement",IF(AND(E37="Oui",G37="Oui",H37&lt;&gt;"",I37="Oui"),"Complet","Étape manquante")))</f>
        <v/>
      </c>
      <c r="K37" s="5" t="n"/>
    </row>
    <row r="38">
      <c r="A38" s="13" t="n"/>
      <c r="B38" s="5" t="n"/>
      <c r="C38" s="6" t="n"/>
      <c r="D38" s="6" t="n"/>
      <c r="E38" s="6" t="n"/>
      <c r="F38" s="5" t="n"/>
      <c r="G38" s="6" t="n"/>
      <c r="H38" s="6" t="n"/>
      <c r="I38" s="6" t="n"/>
      <c r="J38" s="8">
        <f>IF(B38="","",IF(E38="Non","Sans consentement",IF(AND(E38="Oui",G38="Oui",H38&lt;&gt;"",I38="Oui"),"Complet","Étape manquante")))</f>
        <v/>
      </c>
      <c r="K38" s="5" t="n"/>
    </row>
    <row r="39">
      <c r="A39" s="13" t="n"/>
      <c r="B39" s="5" t="n"/>
      <c r="C39" s="6" t="n"/>
      <c r="D39" s="6" t="n"/>
      <c r="E39" s="6" t="n"/>
      <c r="F39" s="5" t="n"/>
      <c r="G39" s="6" t="n"/>
      <c r="H39" s="6" t="n"/>
      <c r="I39" s="6" t="n"/>
      <c r="J39" s="8">
        <f>IF(B39="","",IF(E39="Non","Sans consentement",IF(AND(E39="Oui",G39="Oui",H39&lt;&gt;"",I39="Oui"),"Complet","Étape manquante")))</f>
        <v/>
      </c>
      <c r="K39" s="5" t="n"/>
    </row>
    <row r="40">
      <c r="A40" s="13" t="n"/>
      <c r="B40" s="5" t="n"/>
      <c r="C40" s="6" t="n"/>
      <c r="D40" s="6" t="n"/>
      <c r="E40" s="6" t="n"/>
      <c r="F40" s="5" t="n"/>
      <c r="G40" s="6" t="n"/>
      <c r="H40" s="6" t="n"/>
      <c r="I40" s="6" t="n"/>
      <c r="J40" s="8">
        <f>IF(B40="","",IF(E40="Non","Sans consentement",IF(AND(E40="Oui",G40="Oui",H40&lt;&gt;"",I40="Oui"),"Complet","Étape manquante")))</f>
        <v/>
      </c>
      <c r="K40" s="5" t="n"/>
    </row>
    <row r="41">
      <c r="A41" s="13" t="n"/>
      <c r="B41" s="5" t="n"/>
      <c r="C41" s="6" t="n"/>
      <c r="D41" s="6" t="n"/>
      <c r="E41" s="6" t="n"/>
      <c r="F41" s="5" t="n"/>
      <c r="G41" s="6" t="n"/>
      <c r="H41" s="6" t="n"/>
      <c r="I41" s="6" t="n"/>
      <c r="J41" s="8">
        <f>IF(B41="","",IF(E41="Non","Sans consentement",IF(AND(E41="Oui",G41="Oui",H41&lt;&gt;"",I41="Oui"),"Complet","Étape manquante")))</f>
        <v/>
      </c>
      <c r="K41" s="5" t="n"/>
    </row>
    <row r="42">
      <c r="A42" s="13" t="n"/>
      <c r="B42" s="5" t="n"/>
      <c r="C42" s="6" t="n"/>
      <c r="D42" s="6" t="n"/>
      <c r="E42" s="6" t="n"/>
      <c r="F42" s="5" t="n"/>
      <c r="G42" s="6" t="n"/>
      <c r="H42" s="6" t="n"/>
      <c r="I42" s="6" t="n"/>
      <c r="J42" s="8">
        <f>IF(B42="","",IF(E42="Non","Sans consentement",IF(AND(E42="Oui",G42="Oui",H42&lt;&gt;"",I42="Oui"),"Complet","Étape manquante")))</f>
        <v/>
      </c>
      <c r="K42" s="5" t="n"/>
    </row>
    <row r="43">
      <c r="A43" s="13" t="n"/>
      <c r="B43" s="5" t="n"/>
      <c r="C43" s="6" t="n"/>
      <c r="D43" s="6" t="n"/>
      <c r="E43" s="6" t="n"/>
      <c r="F43" s="5" t="n"/>
      <c r="G43" s="6" t="n"/>
      <c r="H43" s="6" t="n"/>
      <c r="I43" s="6" t="n"/>
      <c r="J43" s="8">
        <f>IF(B43="","",IF(E43="Non","Sans consentement",IF(AND(E43="Oui",G43="Oui",H43&lt;&gt;"",I43="Oui"),"Complet","Étape manquante")))</f>
        <v/>
      </c>
      <c r="K43" s="5" t="n"/>
    </row>
    <row r="44">
      <c r="A44" s="13" t="n"/>
      <c r="B44" s="5" t="n"/>
      <c r="C44" s="6" t="n"/>
      <c r="D44" s="6" t="n"/>
      <c r="E44" s="6" t="n"/>
      <c r="F44" s="5" t="n"/>
      <c r="G44" s="6" t="n"/>
      <c r="H44" s="6" t="n"/>
      <c r="I44" s="6" t="n"/>
      <c r="J44" s="8">
        <f>IF(B44="","",IF(E44="Non","Sans consentement",IF(AND(E44="Oui",G44="Oui",H44&lt;&gt;"",I44="Oui"),"Complet","Étape manquante")))</f>
        <v/>
      </c>
      <c r="K44" s="5" t="n"/>
    </row>
    <row r="45">
      <c r="A45" s="13" t="n"/>
      <c r="B45" s="5" t="n"/>
      <c r="C45" s="6" t="n"/>
      <c r="D45" s="6" t="n"/>
      <c r="E45" s="6" t="n"/>
      <c r="F45" s="5" t="n"/>
      <c r="G45" s="6" t="n"/>
      <c r="H45" s="6" t="n"/>
      <c r="I45" s="6" t="n"/>
      <c r="J45" s="8">
        <f>IF(B45="","",IF(E45="Non","Sans consentement",IF(AND(E45="Oui",G45="Oui",H45&lt;&gt;"",I45="Oui"),"Complet","Étape manquante")))</f>
        <v/>
      </c>
      <c r="K45" s="5" t="n"/>
    </row>
    <row r="46">
      <c r="A46" s="13" t="n"/>
      <c r="B46" s="5" t="n"/>
      <c r="C46" s="6" t="n"/>
      <c r="D46" s="6" t="n"/>
      <c r="E46" s="6" t="n"/>
      <c r="F46" s="5" t="n"/>
      <c r="G46" s="6" t="n"/>
      <c r="H46" s="6" t="n"/>
      <c r="I46" s="6" t="n"/>
      <c r="J46" s="8">
        <f>IF(B46="","",IF(E46="Non","Sans consentement",IF(AND(E46="Oui",G46="Oui",H46&lt;&gt;"",I46="Oui"),"Complet","Étape manquante")))</f>
        <v/>
      </c>
      <c r="K46" s="5" t="n"/>
    </row>
    <row r="47">
      <c r="A47" s="13" t="n"/>
      <c r="B47" s="5" t="n"/>
      <c r="C47" s="6" t="n"/>
      <c r="D47" s="6" t="n"/>
      <c r="E47" s="6" t="n"/>
      <c r="F47" s="5" t="n"/>
      <c r="G47" s="6" t="n"/>
      <c r="H47" s="6" t="n"/>
      <c r="I47" s="6" t="n"/>
      <c r="J47" s="8">
        <f>IF(B47="","",IF(E47="Non","Sans consentement",IF(AND(E47="Oui",G47="Oui",H47&lt;&gt;"",I47="Oui"),"Complet","Étape manquante")))</f>
        <v/>
      </c>
      <c r="K47" s="5" t="n"/>
    </row>
    <row r="48">
      <c r="A48" s="13" t="n"/>
      <c r="B48" s="5" t="n"/>
      <c r="C48" s="6" t="n"/>
      <c r="D48" s="6" t="n"/>
      <c r="E48" s="6" t="n"/>
      <c r="F48" s="5" t="n"/>
      <c r="G48" s="6" t="n"/>
      <c r="H48" s="6" t="n"/>
      <c r="I48" s="6" t="n"/>
      <c r="J48" s="8">
        <f>IF(B48="","",IF(E48="Non","Sans consentement",IF(AND(E48="Oui",G48="Oui",H48&lt;&gt;"",I48="Oui"),"Complet","Étape manquante")))</f>
        <v/>
      </c>
      <c r="K48" s="5" t="n"/>
    </row>
    <row r="49">
      <c r="A49" s="13" t="n"/>
      <c r="B49" s="5" t="n"/>
      <c r="C49" s="6" t="n"/>
      <c r="D49" s="6" t="n"/>
      <c r="E49" s="6" t="n"/>
      <c r="F49" s="5" t="n"/>
      <c r="G49" s="6" t="n"/>
      <c r="H49" s="6" t="n"/>
      <c r="I49" s="6" t="n"/>
      <c r="J49" s="8">
        <f>IF(B49="","",IF(E49="Non","Sans consentement",IF(AND(E49="Oui",G49="Oui",H49&lt;&gt;"",I49="Oui"),"Complet","Étape manquante")))</f>
        <v/>
      </c>
      <c r="K49" s="5" t="n"/>
    </row>
    <row r="50">
      <c r="A50" s="13" t="n"/>
      <c r="B50" s="5" t="n"/>
      <c r="C50" s="6" t="n"/>
      <c r="D50" s="6" t="n"/>
      <c r="E50" s="6" t="n"/>
      <c r="F50" s="5" t="n"/>
      <c r="G50" s="6" t="n"/>
      <c r="H50" s="6" t="n"/>
      <c r="I50" s="6" t="n"/>
      <c r="J50" s="8">
        <f>IF(B50="","",IF(E50="Non","Sans consentement",IF(AND(E50="Oui",G50="Oui",H50&lt;&gt;"",I50="Oui"),"Complet","Étape manquante")))</f>
        <v/>
      </c>
      <c r="K50" s="5" t="n"/>
    </row>
    <row r="51">
      <c r="A51" s="13" t="n"/>
      <c r="B51" s="5" t="n"/>
      <c r="C51" s="6" t="n"/>
      <c r="D51" s="6" t="n"/>
      <c r="E51" s="6" t="n"/>
      <c r="F51" s="5" t="n"/>
      <c r="G51" s="6" t="n"/>
      <c r="H51" s="6" t="n"/>
      <c r="I51" s="6" t="n"/>
      <c r="J51" s="8">
        <f>IF(B51="","",IF(E51="Non","Sans consentement",IF(AND(E51="Oui",G51="Oui",H51&lt;&gt;"",I51="Oui"),"Complet","Étape manquante")))</f>
        <v/>
      </c>
      <c r="K51" s="5" t="n"/>
    </row>
    <row r="52">
      <c r="A52" s="13" t="n"/>
      <c r="B52" s="5" t="n"/>
      <c r="C52" s="6" t="n"/>
      <c r="D52" s="6" t="n"/>
      <c r="E52" s="6" t="n"/>
      <c r="F52" s="5" t="n"/>
      <c r="G52" s="6" t="n"/>
      <c r="H52" s="6" t="n"/>
      <c r="I52" s="6" t="n"/>
      <c r="J52" s="8">
        <f>IF(B52="","",IF(E52="Non","Sans consentement",IF(AND(E52="Oui",G52="Oui",H52&lt;&gt;"",I52="Oui"),"Complet","Étape manquante")))</f>
        <v/>
      </c>
      <c r="K52" s="5" t="n"/>
    </row>
    <row r="53">
      <c r="A53" s="13" t="n"/>
      <c r="B53" s="5" t="n"/>
      <c r="C53" s="6" t="n"/>
      <c r="D53" s="6" t="n"/>
      <c r="E53" s="6" t="n"/>
      <c r="F53" s="5" t="n"/>
      <c r="G53" s="6" t="n"/>
      <c r="H53" s="6" t="n"/>
      <c r="I53" s="6" t="n"/>
      <c r="J53" s="8">
        <f>IF(B53="","",IF(E53="Non","Sans consentement",IF(AND(E53="Oui",G53="Oui",H53&lt;&gt;"",I53="Oui"),"Complet","Étape manquante")))</f>
        <v/>
      </c>
      <c r="K53" s="5" t="n"/>
    </row>
    <row r="54">
      <c r="A54" s="13" t="n"/>
      <c r="B54" s="5" t="n"/>
      <c r="C54" s="6" t="n"/>
      <c r="D54" s="6" t="n"/>
      <c r="E54" s="6" t="n"/>
      <c r="F54" s="5" t="n"/>
      <c r="G54" s="6" t="n"/>
      <c r="H54" s="6" t="n"/>
      <c r="I54" s="6" t="n"/>
      <c r="J54" s="8">
        <f>IF(B54="","",IF(E54="Non","Sans consentement",IF(AND(E54="Oui",G54="Oui",H54&lt;&gt;"",I54="Oui"),"Complet","Étape manquante")))</f>
        <v/>
      </c>
      <c r="K54" s="5" t="n"/>
    </row>
    <row r="55">
      <c r="A55" s="13" t="n"/>
      <c r="B55" s="5" t="n"/>
      <c r="C55" s="6" t="n"/>
      <c r="D55" s="6" t="n"/>
      <c r="E55" s="6" t="n"/>
      <c r="F55" s="5" t="n"/>
      <c r="G55" s="6" t="n"/>
      <c r="H55" s="6" t="n"/>
      <c r="I55" s="6" t="n"/>
      <c r="J55" s="8">
        <f>IF(B55="","",IF(E55="Non","Sans consentement",IF(AND(E55="Oui",G55="Oui",H55&lt;&gt;"",I55="Oui"),"Complet","Étape manquante")))</f>
        <v/>
      </c>
      <c r="K55" s="5" t="n"/>
    </row>
    <row r="56">
      <c r="A56" s="13" t="n"/>
      <c r="B56" s="5" t="n"/>
      <c r="C56" s="6" t="n"/>
      <c r="D56" s="6" t="n"/>
      <c r="E56" s="6" t="n"/>
      <c r="F56" s="5" t="n"/>
      <c r="G56" s="6" t="n"/>
      <c r="H56" s="6" t="n"/>
      <c r="I56" s="6" t="n"/>
      <c r="J56" s="8">
        <f>IF(B56="","",IF(E56="Non","Sans consentement",IF(AND(E56="Oui",G56="Oui",H56&lt;&gt;"",I56="Oui"),"Complet","Étape manquante")))</f>
        <v/>
      </c>
      <c r="K56" s="5" t="n"/>
    </row>
    <row r="57">
      <c r="A57" s="13" t="n"/>
      <c r="B57" s="5" t="n"/>
      <c r="C57" s="6" t="n"/>
      <c r="D57" s="6" t="n"/>
      <c r="E57" s="6" t="n"/>
      <c r="F57" s="5" t="n"/>
      <c r="G57" s="6" t="n"/>
      <c r="H57" s="6" t="n"/>
      <c r="I57" s="6" t="n"/>
      <c r="J57" s="8">
        <f>IF(B57="","",IF(E57="Non","Sans consentement",IF(AND(E57="Oui",G57="Oui",H57&lt;&gt;"",I57="Oui"),"Complet","Étape manquante")))</f>
        <v/>
      </c>
      <c r="K57" s="5" t="n"/>
    </row>
    <row r="58">
      <c r="A58" s="13" t="n"/>
      <c r="B58" s="5" t="n"/>
      <c r="C58" s="6" t="n"/>
      <c r="D58" s="6" t="n"/>
      <c r="E58" s="6" t="n"/>
      <c r="F58" s="5" t="n"/>
      <c r="G58" s="6" t="n"/>
      <c r="H58" s="6" t="n"/>
      <c r="I58" s="6" t="n"/>
      <c r="J58" s="8">
        <f>IF(B58="","",IF(E58="Non","Sans consentement",IF(AND(E58="Oui",G58="Oui",H58&lt;&gt;"",I58="Oui"),"Complet","Étape manquante")))</f>
        <v/>
      </c>
      <c r="K58" s="5" t="n"/>
    </row>
    <row r="59">
      <c r="A59" s="13" t="n"/>
      <c r="B59" s="5" t="n"/>
      <c r="C59" s="6" t="n"/>
      <c r="D59" s="6" t="n"/>
      <c r="E59" s="6" t="n"/>
      <c r="F59" s="5" t="n"/>
      <c r="G59" s="6" t="n"/>
      <c r="H59" s="6" t="n"/>
      <c r="I59" s="6" t="n"/>
      <c r="J59" s="8">
        <f>IF(B59="","",IF(E59="Non","Sans consentement",IF(AND(E59="Oui",G59="Oui",H59&lt;&gt;"",I59="Oui"),"Complet","Étape manquante")))</f>
        <v/>
      </c>
      <c r="K59" s="5" t="n"/>
    </row>
    <row r="60">
      <c r="A60" s="13" t="n"/>
      <c r="B60" s="5" t="n"/>
      <c r="C60" s="6" t="n"/>
      <c r="D60" s="6" t="n"/>
      <c r="E60" s="6" t="n"/>
      <c r="F60" s="5" t="n"/>
      <c r="G60" s="6" t="n"/>
      <c r="H60" s="6" t="n"/>
      <c r="I60" s="6" t="n"/>
      <c r="J60" s="8">
        <f>IF(B60="","",IF(E60="Non","Sans consentement",IF(AND(E60="Oui",G60="Oui",H60&lt;&gt;"",I60="Oui"),"Complet","Étape manquante")))</f>
        <v/>
      </c>
      <c r="K60" s="5" t="n"/>
    </row>
    <row r="61">
      <c r="A61" s="13" t="n"/>
      <c r="B61" s="5" t="n"/>
      <c r="C61" s="6" t="n"/>
      <c r="D61" s="6" t="n"/>
      <c r="E61" s="6" t="n"/>
      <c r="F61" s="5" t="n"/>
      <c r="G61" s="6" t="n"/>
      <c r="H61" s="6" t="n"/>
      <c r="I61" s="6" t="n"/>
      <c r="J61" s="8">
        <f>IF(B61="","",IF(E61="Non","Sans consentement",IF(AND(E61="Oui",G61="Oui",H61&lt;&gt;"",I61="Oui"),"Complet","Étape manquante")))</f>
        <v/>
      </c>
      <c r="K61" s="5" t="n"/>
    </row>
    <row r="62">
      <c r="A62" s="13" t="n"/>
      <c r="B62" s="5" t="n"/>
      <c r="C62" s="6" t="n"/>
      <c r="D62" s="6" t="n"/>
      <c r="E62" s="6" t="n"/>
      <c r="F62" s="5" t="n"/>
      <c r="G62" s="6" t="n"/>
      <c r="H62" s="6" t="n"/>
      <c r="I62" s="6" t="n"/>
      <c r="J62" s="8">
        <f>IF(B62="","",IF(E62="Non","Sans consentement",IF(AND(E62="Oui",G62="Oui",H62&lt;&gt;"",I62="Oui"),"Complet","Étape manquante")))</f>
        <v/>
      </c>
      <c r="K62" s="5" t="n"/>
    </row>
    <row r="63">
      <c r="A63" s="13" t="n"/>
      <c r="B63" s="5" t="n"/>
      <c r="C63" s="6" t="n"/>
      <c r="D63" s="6" t="n"/>
      <c r="E63" s="6" t="n"/>
      <c r="F63" s="5" t="n"/>
      <c r="G63" s="6" t="n"/>
      <c r="H63" s="6" t="n"/>
      <c r="I63" s="6" t="n"/>
      <c r="J63" s="8">
        <f>IF(B63="","",IF(E63="Non","Sans consentement",IF(AND(E63="Oui",G63="Oui",H63&lt;&gt;"",I63="Oui"),"Complet","Étape manquante")))</f>
        <v/>
      </c>
      <c r="K63" s="5" t="n"/>
    </row>
    <row r="64">
      <c r="A64" s="13" t="n"/>
      <c r="B64" s="5" t="n"/>
      <c r="C64" s="6" t="n"/>
      <c r="D64" s="6" t="n"/>
      <c r="E64" s="6" t="n"/>
      <c r="F64" s="5" t="n"/>
      <c r="G64" s="6" t="n"/>
      <c r="H64" s="6" t="n"/>
      <c r="I64" s="6" t="n"/>
      <c r="J64" s="8">
        <f>IF(B64="","",IF(E64="Non","Sans consentement",IF(AND(E64="Oui",G64="Oui",H64&lt;&gt;"",I64="Oui"),"Complet","Étape manquante")))</f>
        <v/>
      </c>
      <c r="K64" s="5" t="n"/>
    </row>
    <row r="65">
      <c r="A65" s="13" t="n"/>
      <c r="B65" s="5" t="n"/>
      <c r="C65" s="6" t="n"/>
      <c r="D65" s="6" t="n"/>
      <c r="E65" s="6" t="n"/>
      <c r="F65" s="5" t="n"/>
      <c r="G65" s="6" t="n"/>
      <c r="H65" s="6" t="n"/>
      <c r="I65" s="6" t="n"/>
      <c r="J65" s="8">
        <f>IF(B65="","",IF(E65="Non","Sans consentement",IF(AND(E65="Oui",G65="Oui",H65&lt;&gt;"",I65="Oui"),"Complet","Étape manquante")))</f>
        <v/>
      </c>
      <c r="K65" s="5" t="n"/>
    </row>
    <row r="66">
      <c r="A66" s="13" t="n"/>
      <c r="B66" s="5" t="n"/>
      <c r="C66" s="6" t="n"/>
      <c r="D66" s="6" t="n"/>
      <c r="E66" s="6" t="n"/>
      <c r="F66" s="5" t="n"/>
      <c r="G66" s="6" t="n"/>
      <c r="H66" s="6" t="n"/>
      <c r="I66" s="6" t="n"/>
      <c r="J66" s="8">
        <f>IF(B66="","",IF(E66="Non","Sans consentement",IF(AND(E66="Oui",G66="Oui",H66&lt;&gt;"",I66="Oui"),"Complet","Étape manquante")))</f>
        <v/>
      </c>
      <c r="K66" s="5" t="n"/>
    </row>
    <row r="67">
      <c r="A67" s="13" t="n"/>
      <c r="B67" s="5" t="n"/>
      <c r="C67" s="6" t="n"/>
      <c r="D67" s="6" t="n"/>
      <c r="E67" s="6" t="n"/>
      <c r="F67" s="5" t="n"/>
      <c r="G67" s="6" t="n"/>
      <c r="H67" s="6" t="n"/>
      <c r="I67" s="6" t="n"/>
      <c r="J67" s="8">
        <f>IF(B67="","",IF(E67="Non","Sans consentement",IF(AND(E67="Oui",G67="Oui",H67&lt;&gt;"",I67="Oui"),"Complet","Étape manquante")))</f>
        <v/>
      </c>
      <c r="K67" s="5" t="n"/>
    </row>
    <row r="68">
      <c r="A68" s="13" t="n"/>
      <c r="B68" s="5" t="n"/>
      <c r="C68" s="6" t="n"/>
      <c r="D68" s="6" t="n"/>
      <c r="E68" s="6" t="n"/>
      <c r="F68" s="5" t="n"/>
      <c r="G68" s="6" t="n"/>
      <c r="H68" s="6" t="n"/>
      <c r="I68" s="6" t="n"/>
      <c r="J68" s="8">
        <f>IF(B68="","",IF(E68="Non","Sans consentement",IF(AND(E68="Oui",G68="Oui",H68&lt;&gt;"",I68="Oui"),"Complet","Étape manquante")))</f>
        <v/>
      </c>
      <c r="K68" s="5" t="n"/>
    </row>
    <row r="69">
      <c r="A69" s="13" t="n"/>
      <c r="B69" s="5" t="n"/>
      <c r="C69" s="6" t="n"/>
      <c r="D69" s="6" t="n"/>
      <c r="E69" s="6" t="n"/>
      <c r="F69" s="5" t="n"/>
      <c r="G69" s="6" t="n"/>
      <c r="H69" s="6" t="n"/>
      <c r="I69" s="6" t="n"/>
      <c r="J69" s="8">
        <f>IF(B69="","",IF(E69="Non","Sans consentement",IF(AND(E69="Oui",G69="Oui",H69&lt;&gt;"",I69="Oui"),"Complet","Étape manquante")))</f>
        <v/>
      </c>
      <c r="K69" s="5" t="n"/>
    </row>
    <row r="70">
      <c r="A70" s="13" t="n"/>
      <c r="B70" s="5" t="n"/>
      <c r="C70" s="6" t="n"/>
      <c r="D70" s="6" t="n"/>
      <c r="E70" s="6" t="n"/>
      <c r="F70" s="5" t="n"/>
      <c r="G70" s="6" t="n"/>
      <c r="H70" s="6" t="n"/>
      <c r="I70" s="6" t="n"/>
      <c r="J70" s="8">
        <f>IF(B70="","",IF(E70="Non","Sans consentement",IF(AND(E70="Oui",G70="Oui",H70&lt;&gt;"",I70="Oui"),"Complet","Étape manquante")))</f>
        <v/>
      </c>
      <c r="K70" s="5" t="n"/>
    </row>
    <row r="71">
      <c r="A71" s="13" t="n"/>
      <c r="B71" s="5" t="n"/>
      <c r="C71" s="6" t="n"/>
      <c r="D71" s="6" t="n"/>
      <c r="E71" s="6" t="n"/>
      <c r="F71" s="5" t="n"/>
      <c r="G71" s="6" t="n"/>
      <c r="H71" s="6" t="n"/>
      <c r="I71" s="6" t="n"/>
      <c r="J71" s="8">
        <f>IF(B71="","",IF(E71="Non","Sans consentement",IF(AND(E71="Oui",G71="Oui",H71&lt;&gt;"",I71="Oui"),"Complet","Étape manquante")))</f>
        <v/>
      </c>
      <c r="K71" s="5" t="n"/>
    </row>
    <row r="72">
      <c r="A72" s="13" t="n"/>
      <c r="B72" s="5" t="n"/>
      <c r="C72" s="6" t="n"/>
      <c r="D72" s="6" t="n"/>
      <c r="E72" s="6" t="n"/>
      <c r="F72" s="5" t="n"/>
      <c r="G72" s="6" t="n"/>
      <c r="H72" s="6" t="n"/>
      <c r="I72" s="6" t="n"/>
      <c r="J72" s="8">
        <f>IF(B72="","",IF(E72="Non","Sans consentement",IF(AND(E72="Oui",G72="Oui",H72&lt;&gt;"",I72="Oui"),"Complet","Étape manquante")))</f>
        <v/>
      </c>
      <c r="K72" s="5" t="n"/>
    </row>
    <row r="73">
      <c r="A73" s="13" t="n"/>
      <c r="B73" s="5" t="n"/>
      <c r="C73" s="6" t="n"/>
      <c r="D73" s="6" t="n"/>
      <c r="E73" s="6" t="n"/>
      <c r="F73" s="5" t="n"/>
      <c r="G73" s="6" t="n"/>
      <c r="H73" s="6" t="n"/>
      <c r="I73" s="6" t="n"/>
      <c r="J73" s="8">
        <f>IF(B73="","",IF(E73="Non","Sans consentement",IF(AND(E73="Oui",G73="Oui",H73&lt;&gt;"",I73="Oui"),"Complet","Étape manquante")))</f>
        <v/>
      </c>
      <c r="K73" s="5" t="n"/>
    </row>
    <row r="74">
      <c r="A74" s="13" t="n"/>
      <c r="B74" s="5" t="n"/>
      <c r="C74" s="6" t="n"/>
      <c r="D74" s="6" t="n"/>
      <c r="E74" s="6" t="n"/>
      <c r="F74" s="5" t="n"/>
      <c r="G74" s="6" t="n"/>
      <c r="H74" s="6" t="n"/>
      <c r="I74" s="6" t="n"/>
      <c r="J74" s="8">
        <f>IF(B74="","",IF(E74="Non","Sans consentement",IF(AND(E74="Oui",G74="Oui",H74&lt;&gt;"",I74="Oui"),"Complet","Étape manquante")))</f>
        <v/>
      </c>
      <c r="K74" s="5" t="n"/>
    </row>
    <row r="75">
      <c r="A75" s="13" t="n"/>
      <c r="B75" s="5" t="n"/>
      <c r="C75" s="6" t="n"/>
      <c r="D75" s="6" t="n"/>
      <c r="E75" s="6" t="n"/>
      <c r="F75" s="5" t="n"/>
      <c r="G75" s="6" t="n"/>
      <c r="H75" s="6" t="n"/>
      <c r="I75" s="6" t="n"/>
      <c r="J75" s="8">
        <f>IF(B75="","",IF(E75="Non","Sans consentement",IF(AND(E75="Oui",G75="Oui",H75&lt;&gt;"",I75="Oui"),"Complet","Étape manquante")))</f>
        <v/>
      </c>
      <c r="K75" s="5" t="n"/>
    </row>
    <row r="76">
      <c r="A76" s="13" t="n"/>
      <c r="B76" s="5" t="n"/>
      <c r="C76" s="6" t="n"/>
      <c r="D76" s="6" t="n"/>
      <c r="E76" s="6" t="n"/>
      <c r="F76" s="5" t="n"/>
      <c r="G76" s="6" t="n"/>
      <c r="H76" s="6" t="n"/>
      <c r="I76" s="6" t="n"/>
      <c r="J76" s="8">
        <f>IF(B76="","",IF(E76="Non","Sans consentement",IF(AND(E76="Oui",G76="Oui",H76&lt;&gt;"",I76="Oui"),"Complet","Étape manquante")))</f>
        <v/>
      </c>
      <c r="K76" s="5" t="n"/>
    </row>
    <row r="77">
      <c r="A77" s="13" t="n"/>
      <c r="B77" s="5" t="n"/>
      <c r="C77" s="6" t="n"/>
      <c r="D77" s="6" t="n"/>
      <c r="E77" s="6" t="n"/>
      <c r="F77" s="5" t="n"/>
      <c r="G77" s="6" t="n"/>
      <c r="H77" s="6" t="n"/>
      <c r="I77" s="6" t="n"/>
      <c r="J77" s="8">
        <f>IF(B77="","",IF(E77="Non","Sans consentement",IF(AND(E77="Oui",G77="Oui",H77&lt;&gt;"",I77="Oui"),"Complet","Étape manquante")))</f>
        <v/>
      </c>
      <c r="K77" s="5" t="n"/>
    </row>
    <row r="78">
      <c r="A78" s="13" t="n"/>
      <c r="B78" s="5" t="n"/>
      <c r="C78" s="6" t="n"/>
      <c r="D78" s="6" t="n"/>
      <c r="E78" s="6" t="n"/>
      <c r="F78" s="5" t="n"/>
      <c r="G78" s="6" t="n"/>
      <c r="H78" s="6" t="n"/>
      <c r="I78" s="6" t="n"/>
      <c r="J78" s="8">
        <f>IF(B78="","",IF(E78="Non","Sans consentement",IF(AND(E78="Oui",G78="Oui",H78&lt;&gt;"",I78="Oui"),"Complet","Étape manquante")))</f>
        <v/>
      </c>
      <c r="K78" s="5" t="n"/>
    </row>
    <row r="79">
      <c r="A79" s="13" t="n"/>
      <c r="B79" s="5" t="n"/>
      <c r="C79" s="6" t="n"/>
      <c r="D79" s="6" t="n"/>
      <c r="E79" s="6" t="n"/>
      <c r="F79" s="5" t="n"/>
      <c r="G79" s="6" t="n"/>
      <c r="H79" s="6" t="n"/>
      <c r="I79" s="6" t="n"/>
      <c r="J79" s="8">
        <f>IF(B79="","",IF(E79="Non","Sans consentement",IF(AND(E79="Oui",G79="Oui",H79&lt;&gt;"",I79="Oui"),"Complet","Étape manquante")))</f>
        <v/>
      </c>
      <c r="K79" s="5" t="n"/>
    </row>
    <row r="80">
      <c r="A80" s="13" t="n"/>
      <c r="B80" s="5" t="n"/>
      <c r="C80" s="6" t="n"/>
      <c r="D80" s="6" t="n"/>
      <c r="E80" s="6" t="n"/>
      <c r="F80" s="5" t="n"/>
      <c r="G80" s="6" t="n"/>
      <c r="H80" s="6" t="n"/>
      <c r="I80" s="6" t="n"/>
      <c r="J80" s="8">
        <f>IF(B80="","",IF(E80="Non","Sans consentement",IF(AND(E80="Oui",G80="Oui",H80&lt;&gt;"",I80="Oui"),"Complet","Étape manquante")))</f>
        <v/>
      </c>
      <c r="K80" s="5" t="n"/>
    </row>
    <row r="81">
      <c r="A81" s="13" t="n"/>
      <c r="B81" s="5" t="n"/>
      <c r="C81" s="6" t="n"/>
      <c r="D81" s="6" t="n"/>
      <c r="E81" s="6" t="n"/>
      <c r="F81" s="5" t="n"/>
      <c r="G81" s="6" t="n"/>
      <c r="H81" s="6" t="n"/>
      <c r="I81" s="6" t="n"/>
      <c r="J81" s="8">
        <f>IF(B81="","",IF(E81="Non","Sans consentement",IF(AND(E81="Oui",G81="Oui",H81&lt;&gt;"",I81="Oui"),"Complet","Étape manquante")))</f>
        <v/>
      </c>
      <c r="K81" s="5" t="n"/>
    </row>
    <row r="82">
      <c r="A82" s="13" t="n"/>
      <c r="B82" s="5" t="n"/>
      <c r="C82" s="6" t="n"/>
      <c r="D82" s="6" t="n"/>
      <c r="E82" s="6" t="n"/>
      <c r="F82" s="5" t="n"/>
      <c r="G82" s="6" t="n"/>
      <c r="H82" s="6" t="n"/>
      <c r="I82" s="6" t="n"/>
      <c r="J82" s="8">
        <f>IF(B82="","",IF(E82="Non","Sans consentement",IF(AND(E82="Oui",G82="Oui",H82&lt;&gt;"",I82="Oui"),"Complet","Étape manquante")))</f>
        <v/>
      </c>
      <c r="K82" s="5" t="n"/>
    </row>
    <row r="83">
      <c r="A83" s="13" t="n"/>
      <c r="B83" s="5" t="n"/>
      <c r="C83" s="6" t="n"/>
      <c r="D83" s="6" t="n"/>
      <c r="E83" s="6" t="n"/>
      <c r="F83" s="5" t="n"/>
      <c r="G83" s="6" t="n"/>
      <c r="H83" s="6" t="n"/>
      <c r="I83" s="6" t="n"/>
      <c r="J83" s="8">
        <f>IF(B83="","",IF(E83="Non","Sans consentement",IF(AND(E83="Oui",G83="Oui",H83&lt;&gt;"",I83="Oui"),"Complet","Étape manquante")))</f>
        <v/>
      </c>
      <c r="K83" s="5" t="n"/>
    </row>
    <row r="84">
      <c r="A84" s="13" t="n"/>
      <c r="B84" s="5" t="n"/>
      <c r="C84" s="6" t="n"/>
      <c r="D84" s="6" t="n"/>
      <c r="E84" s="6" t="n"/>
      <c r="F84" s="5" t="n"/>
      <c r="G84" s="6" t="n"/>
      <c r="H84" s="6" t="n"/>
      <c r="I84" s="6" t="n"/>
      <c r="J84" s="8">
        <f>IF(B84="","",IF(E84="Non","Sans consentement",IF(AND(E84="Oui",G84="Oui",H84&lt;&gt;"",I84="Oui"),"Complet","Étape manquante")))</f>
        <v/>
      </c>
      <c r="K84" s="5" t="n"/>
    </row>
    <row r="85">
      <c r="A85" s="13" t="n"/>
      <c r="B85" s="5" t="n"/>
      <c r="C85" s="6" t="n"/>
      <c r="D85" s="6" t="n"/>
      <c r="E85" s="6" t="n"/>
      <c r="F85" s="5" t="n"/>
      <c r="G85" s="6" t="n"/>
      <c r="H85" s="6" t="n"/>
      <c r="I85" s="6" t="n"/>
      <c r="J85" s="8">
        <f>IF(B85="","",IF(E85="Non","Sans consentement",IF(AND(E85="Oui",G85="Oui",H85&lt;&gt;"",I85="Oui"),"Complet","Étape manquante")))</f>
        <v/>
      </c>
      <c r="K85" s="5" t="n"/>
    </row>
    <row r="86">
      <c r="A86" s="13" t="n"/>
      <c r="B86" s="5" t="n"/>
      <c r="C86" s="6" t="n"/>
      <c r="D86" s="6" t="n"/>
      <c r="E86" s="6" t="n"/>
      <c r="F86" s="5" t="n"/>
      <c r="G86" s="6" t="n"/>
      <c r="H86" s="6" t="n"/>
      <c r="I86" s="6" t="n"/>
      <c r="J86" s="8">
        <f>IF(B86="","",IF(E86="Non","Sans consentement",IF(AND(E86="Oui",G86="Oui",H86&lt;&gt;"",I86="Oui"),"Complet","Étape manquante")))</f>
        <v/>
      </c>
      <c r="K86" s="5" t="n"/>
    </row>
    <row r="87">
      <c r="A87" s="13" t="n"/>
      <c r="B87" s="5" t="n"/>
      <c r="C87" s="6" t="n"/>
      <c r="D87" s="6" t="n"/>
      <c r="E87" s="6" t="n"/>
      <c r="F87" s="5" t="n"/>
      <c r="G87" s="6" t="n"/>
      <c r="H87" s="6" t="n"/>
      <c r="I87" s="6" t="n"/>
      <c r="J87" s="8">
        <f>IF(B87="","",IF(E87="Non","Sans consentement",IF(AND(E87="Oui",G87="Oui",H87&lt;&gt;"",I87="Oui"),"Complet","Étape manquante")))</f>
        <v/>
      </c>
      <c r="K87" s="5" t="n"/>
    </row>
    <row r="88">
      <c r="A88" s="13" t="n"/>
      <c r="B88" s="5" t="n"/>
      <c r="C88" s="6" t="n"/>
      <c r="D88" s="6" t="n"/>
      <c r="E88" s="6" t="n"/>
      <c r="F88" s="5" t="n"/>
      <c r="G88" s="6" t="n"/>
      <c r="H88" s="6" t="n"/>
      <c r="I88" s="6" t="n"/>
      <c r="J88" s="8">
        <f>IF(B88="","",IF(E88="Non","Sans consentement",IF(AND(E88="Oui",G88="Oui",H88&lt;&gt;"",I88="Oui"),"Complet","Étape manquante")))</f>
        <v/>
      </c>
      <c r="K88" s="5" t="n"/>
    </row>
    <row r="89">
      <c r="A89" s="13" t="n"/>
      <c r="B89" s="5" t="n"/>
      <c r="C89" s="6" t="n"/>
      <c r="D89" s="6" t="n"/>
      <c r="E89" s="6" t="n"/>
      <c r="F89" s="5" t="n"/>
      <c r="G89" s="6" t="n"/>
      <c r="H89" s="6" t="n"/>
      <c r="I89" s="6" t="n"/>
      <c r="J89" s="8">
        <f>IF(B89="","",IF(E89="Non","Sans consentement",IF(AND(E89="Oui",G89="Oui",H89&lt;&gt;"",I89="Oui"),"Complet","Étape manquante")))</f>
        <v/>
      </c>
      <c r="K89" s="5" t="n"/>
    </row>
    <row r="90">
      <c r="A90" s="13" t="n"/>
      <c r="B90" s="5" t="n"/>
      <c r="C90" s="6" t="n"/>
      <c r="D90" s="6" t="n"/>
      <c r="E90" s="6" t="n"/>
      <c r="F90" s="5" t="n"/>
      <c r="G90" s="6" t="n"/>
      <c r="H90" s="6" t="n"/>
      <c r="I90" s="6" t="n"/>
      <c r="J90" s="8">
        <f>IF(B90="","",IF(E90="Non","Sans consentement",IF(AND(E90="Oui",G90="Oui",H90&lt;&gt;"",I90="Oui"),"Complet","Étape manquante")))</f>
        <v/>
      </c>
      <c r="K90" s="5" t="n"/>
    </row>
    <row r="91">
      <c r="A91" s="13" t="n"/>
      <c r="B91" s="5" t="n"/>
      <c r="C91" s="6" t="n"/>
      <c r="D91" s="6" t="n"/>
      <c r="E91" s="6" t="n"/>
      <c r="F91" s="5" t="n"/>
      <c r="G91" s="6" t="n"/>
      <c r="H91" s="6" t="n"/>
      <c r="I91" s="6" t="n"/>
      <c r="J91" s="8">
        <f>IF(B91="","",IF(E91="Non","Sans consentement",IF(AND(E91="Oui",G91="Oui",H91&lt;&gt;"",I91="Oui"),"Complet","Étape manquante")))</f>
        <v/>
      </c>
      <c r="K91" s="5" t="n"/>
    </row>
    <row r="92">
      <c r="A92" s="13" t="n"/>
      <c r="B92" s="5" t="n"/>
      <c r="C92" s="6" t="n"/>
      <c r="D92" s="6" t="n"/>
      <c r="E92" s="6" t="n"/>
      <c r="F92" s="5" t="n"/>
      <c r="G92" s="6" t="n"/>
      <c r="H92" s="6" t="n"/>
      <c r="I92" s="6" t="n"/>
      <c r="J92" s="8">
        <f>IF(B92="","",IF(E92="Non","Sans consentement",IF(AND(E92="Oui",G92="Oui",H92&lt;&gt;"",I92="Oui"),"Complet","Étape manquante")))</f>
        <v/>
      </c>
      <c r="K92" s="5" t="n"/>
    </row>
    <row r="93">
      <c r="A93" s="13" t="n"/>
      <c r="B93" s="5" t="n"/>
      <c r="C93" s="6" t="n"/>
      <c r="D93" s="6" t="n"/>
      <c r="E93" s="6" t="n"/>
      <c r="F93" s="5" t="n"/>
      <c r="G93" s="6" t="n"/>
      <c r="H93" s="6" t="n"/>
      <c r="I93" s="6" t="n"/>
      <c r="J93" s="8">
        <f>IF(B93="","",IF(E93="Non","Sans consentement",IF(AND(E93="Oui",G93="Oui",H93&lt;&gt;"",I93="Oui"),"Complet","Étape manquante")))</f>
        <v/>
      </c>
      <c r="K93" s="5" t="n"/>
    </row>
    <row r="94">
      <c r="A94" s="13" t="n"/>
      <c r="B94" s="5" t="n"/>
      <c r="C94" s="6" t="n"/>
      <c r="D94" s="6" t="n"/>
      <c r="E94" s="6" t="n"/>
      <c r="F94" s="5" t="n"/>
      <c r="G94" s="6" t="n"/>
      <c r="H94" s="6" t="n"/>
      <c r="I94" s="6" t="n"/>
      <c r="J94" s="8">
        <f>IF(B94="","",IF(E94="Non","Sans consentement",IF(AND(E94="Oui",G94="Oui",H94&lt;&gt;"",I94="Oui"),"Complet","Étape manquante")))</f>
        <v/>
      </c>
      <c r="K94" s="5" t="n"/>
    </row>
    <row r="95">
      <c r="A95" s="13" t="n"/>
      <c r="B95" s="5" t="n"/>
      <c r="C95" s="6" t="n"/>
      <c r="D95" s="6" t="n"/>
      <c r="E95" s="6" t="n"/>
      <c r="F95" s="5" t="n"/>
      <c r="G95" s="6" t="n"/>
      <c r="H95" s="6" t="n"/>
      <c r="I95" s="6" t="n"/>
      <c r="J95" s="8">
        <f>IF(B95="","",IF(E95="Non","Sans consentement",IF(AND(E95="Oui",G95="Oui",H95&lt;&gt;"",I95="Oui"),"Complet","Étape manquante")))</f>
        <v/>
      </c>
      <c r="K95" s="5" t="n"/>
    </row>
    <row r="96">
      <c r="A96" s="13" t="n"/>
      <c r="B96" s="5" t="n"/>
      <c r="C96" s="6" t="n"/>
      <c r="D96" s="6" t="n"/>
      <c r="E96" s="6" t="n"/>
      <c r="F96" s="5" t="n"/>
      <c r="G96" s="6" t="n"/>
      <c r="H96" s="6" t="n"/>
      <c r="I96" s="6" t="n"/>
      <c r="J96" s="8">
        <f>IF(B96="","",IF(E96="Non","Sans consentement",IF(AND(E96="Oui",G96="Oui",H96&lt;&gt;"",I96="Oui"),"Complet","Étape manquante")))</f>
        <v/>
      </c>
      <c r="K96" s="5" t="n"/>
    </row>
    <row r="97">
      <c r="A97" s="13" t="n"/>
      <c r="B97" s="5" t="n"/>
      <c r="C97" s="6" t="n"/>
      <c r="D97" s="6" t="n"/>
      <c r="E97" s="6" t="n"/>
      <c r="F97" s="5" t="n"/>
      <c r="G97" s="6" t="n"/>
      <c r="H97" s="6" t="n"/>
      <c r="I97" s="6" t="n"/>
      <c r="J97" s="8">
        <f>IF(B97="","",IF(E97="Non","Sans consentement",IF(AND(E97="Oui",G97="Oui",H97&lt;&gt;"",I97="Oui"),"Complet","Étape manquante")))</f>
        <v/>
      </c>
      <c r="K97" s="5" t="n"/>
    </row>
    <row r="98">
      <c r="A98" s="13" t="n"/>
      <c r="B98" s="5" t="n"/>
      <c r="C98" s="6" t="n"/>
      <c r="D98" s="6" t="n"/>
      <c r="E98" s="6" t="n"/>
      <c r="F98" s="5" t="n"/>
      <c r="G98" s="6" t="n"/>
      <c r="H98" s="6" t="n"/>
      <c r="I98" s="6" t="n"/>
      <c r="J98" s="8">
        <f>IF(B98="","",IF(E98="Non","Sans consentement",IF(AND(E98="Oui",G98="Oui",H98&lt;&gt;"",I98="Oui"),"Complet","Étape manquante")))</f>
        <v/>
      </c>
      <c r="K98" s="5" t="n"/>
    </row>
    <row r="99">
      <c r="A99" s="13" t="n"/>
      <c r="B99" s="5" t="n"/>
      <c r="C99" s="6" t="n"/>
      <c r="D99" s="6" t="n"/>
      <c r="E99" s="6" t="n"/>
      <c r="F99" s="5" t="n"/>
      <c r="G99" s="6" t="n"/>
      <c r="H99" s="6" t="n"/>
      <c r="I99" s="6" t="n"/>
      <c r="J99" s="8">
        <f>IF(B99="","",IF(E99="Non","Sans consentement",IF(AND(E99="Oui",G99="Oui",H99&lt;&gt;"",I99="Oui"),"Complet","Étape manquante")))</f>
        <v/>
      </c>
      <c r="K99" s="5" t="n"/>
    </row>
    <row r="100">
      <c r="A100" s="13" t="n"/>
      <c r="B100" s="5" t="n"/>
      <c r="C100" s="6" t="n"/>
      <c r="D100" s="6" t="n"/>
      <c r="E100" s="6" t="n"/>
      <c r="F100" s="5" t="n"/>
      <c r="G100" s="6" t="n"/>
      <c r="H100" s="6" t="n"/>
      <c r="I100" s="6" t="n"/>
      <c r="J100" s="8">
        <f>IF(B100="","",IF(E100="Non","Sans consentement",IF(AND(E100="Oui",G100="Oui",H100&lt;&gt;"",I100="Oui"),"Complet","Étape manquante")))</f>
        <v/>
      </c>
      <c r="K100" s="5" t="n"/>
    </row>
    <row r="101">
      <c r="A101" s="13" t="n"/>
      <c r="B101" s="5" t="n"/>
      <c r="C101" s="6" t="n"/>
      <c r="D101" s="6" t="n"/>
      <c r="E101" s="6" t="n"/>
      <c r="F101" s="5" t="n"/>
      <c r="G101" s="6" t="n"/>
      <c r="H101" s="6" t="n"/>
      <c r="I101" s="6" t="n"/>
      <c r="J101" s="8">
        <f>IF(B101="","",IF(E101="Non","Sans consentement",IF(AND(E101="Oui",G101="Oui",H101&lt;&gt;"",I101="Oui"),"Complet","Étape manquante")))</f>
        <v/>
      </c>
      <c r="K101" s="5" t="n"/>
    </row>
    <row r="102">
      <c r="A102" s="13" t="n"/>
      <c r="B102" s="5" t="n"/>
      <c r="C102" s="6" t="n"/>
      <c r="D102" s="6" t="n"/>
      <c r="E102" s="6" t="n"/>
      <c r="F102" s="5" t="n"/>
      <c r="G102" s="6" t="n"/>
      <c r="H102" s="6" t="n"/>
      <c r="I102" s="6" t="n"/>
      <c r="J102" s="8">
        <f>IF(B102="","",IF(E102="Non","Sans consentement",IF(AND(E102="Oui",G102="Oui",H102&lt;&gt;"",I102="Oui"),"Complet","Étape manquante")))</f>
        <v/>
      </c>
      <c r="K102" s="5" t="n"/>
    </row>
    <row r="103">
      <c r="A103" s="13" t="n"/>
      <c r="B103" s="5" t="n"/>
      <c r="C103" s="6" t="n"/>
      <c r="D103" s="6" t="n"/>
      <c r="E103" s="6" t="n"/>
      <c r="F103" s="5" t="n"/>
      <c r="G103" s="6" t="n"/>
      <c r="H103" s="6" t="n"/>
      <c r="I103" s="6" t="n"/>
      <c r="J103" s="8">
        <f>IF(B103="","",IF(E103="Non","Sans consentement",IF(AND(E103="Oui",G103="Oui",H103&lt;&gt;"",I103="Oui"),"Complet","Étape manquante")))</f>
        <v/>
      </c>
      <c r="K103" s="5" t="n"/>
    </row>
    <row r="104">
      <c r="A104" s="13" t="n"/>
      <c r="B104" s="5" t="n"/>
      <c r="C104" s="6" t="n"/>
      <c r="D104" s="6" t="n"/>
      <c r="E104" s="6" t="n"/>
      <c r="F104" s="5" t="n"/>
      <c r="G104" s="6" t="n"/>
      <c r="H104" s="6" t="n"/>
      <c r="I104" s="6" t="n"/>
      <c r="J104" s="8">
        <f>IF(B104="","",IF(E104="Non","Sans consentement",IF(AND(E104="Oui",G104="Oui",H104&lt;&gt;"",I104="Oui"),"Complet","Étape manquante")))</f>
        <v/>
      </c>
      <c r="K104" s="5" t="n"/>
    </row>
  </sheetData>
  <autoFilter ref="A4:K104"/>
  <conditionalFormatting sqref="J5:J104">
    <cfRule type="expression" priority="1" dxfId="0">
      <formula>$J5="Complet"</formula>
    </cfRule>
    <cfRule type="expression" priority="2" dxfId="2">
      <formula>$J5="Étape manquante"</formula>
    </cfRule>
    <cfRule type="expression" priority="3" dxfId="1">
      <formula>$J5="Sans consentement"</formula>
    </cfRule>
  </conditionalFormatting>
  <dataValidations count="6">
    <dataValidation sqref="C5:C104" showDropDown="0" showInputMessage="0" showErrorMessage="0" allowBlank="1" type="list">
      <formula1>=$M$5:$M$11</formula1>
    </dataValidation>
    <dataValidation sqref="D5:D104" showDropDown="0" showInputMessage="0" showErrorMessage="0" allowBlank="1" type="list">
      <formula1>=$M$5:$M$11</formula1>
    </dataValidation>
    <dataValidation sqref="E5:E104" showDropDown="0" showInputMessage="0" showErrorMessage="1" allowBlank="1" type="list">
      <formula1>=$N$5:$N$6</formula1>
    </dataValidation>
    <dataValidation sqref="G5:G104" showDropDown="0" showInputMessage="0" showErrorMessage="1" allowBlank="1" type="list">
      <formula1>=$N$5:$N$6</formula1>
    </dataValidation>
    <dataValidation sqref="I5:I104" showDropDown="0" showInputMessage="0" showErrorMessage="1" allowBlank="1" type="list">
      <formula1>=$N$5:$N$6</formula1>
    </dataValidation>
    <dataValidation sqref="H5:H104" showDropDown="0" showInputMessage="0" showErrorMessage="0" allowBlank="1" type="list">
      <formula1>='Horaires'!$D$9:$D$20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8"/>
  <sheetViews>
    <sheetView rightToLeft="0" workbookViewId="0">
      <selection activeCell="A1" sqref="A1"/>
    </sheetView>
  </sheetViews>
  <sheetFormatPr baseColWidth="8" defaultRowHeight="15"/>
  <cols>
    <col width="30" customWidth="1" min="1" max="1"/>
    <col width="30" customWidth="1" min="2" max="2"/>
    <col width="4" customWidth="1" min="3" max="3"/>
    <col width="22" customWidth="1" min="4" max="4"/>
  </cols>
  <sheetData>
    <row r="1">
      <c r="A1" s="1" t="inlineStr">
        <is>
          <t>Heures ouvrées, jours fériés et équipe</t>
        </is>
      </c>
    </row>
    <row r="2">
      <c r="A2" s="2" t="inlineStr">
        <is>
          <t>Un chat compte comme reçu en heures ouvrées du lundi au vendredi entre l’heure d’ouverture et l’heure de fermeture, sauf les jours fériés ci-dessous. Le journal des réponses utilise ces cellules.</t>
        </is>
      </c>
    </row>
    <row r="4">
      <c r="A4" s="4" t="inlineStr">
        <is>
          <t>Heure d’ouverture</t>
        </is>
      </c>
      <c r="B4" s="7" t="n">
        <v>0.3333333333333333</v>
      </c>
    </row>
    <row r="5">
      <c r="A5" s="4" t="inlineStr">
        <is>
          <t>Heure de fermeture</t>
        </is>
      </c>
      <c r="B5" s="7" t="n">
        <v>0.7083333333333334</v>
      </c>
    </row>
    <row r="6">
      <c r="A6" s="4" t="inlineStr">
        <is>
          <t>Jours ouvrés</t>
        </is>
      </c>
      <c r="B6" s="6" t="inlineStr">
        <is>
          <t>Du lundi au vendredi</t>
        </is>
      </c>
    </row>
    <row r="8" ht="24" customHeight="1">
      <c r="A8" s="3" t="inlineStr">
        <is>
          <t>Jour férié</t>
        </is>
      </c>
      <c r="B8" s="3" t="inlineStr">
        <is>
          <t>Nom</t>
        </is>
      </c>
      <c r="C8" s="14" t="n"/>
      <c r="D8" s="3" t="inlineStr">
        <is>
          <t>Équipe</t>
        </is>
      </c>
    </row>
    <row r="9">
      <c r="A9" s="13" t="n">
        <v>46352</v>
      </c>
      <c r="B9" s="5" t="inlineStr">
        <is>
          <t>Thanksgiving</t>
        </is>
      </c>
      <c r="D9" s="4" t="inlineStr">
        <is>
          <t>Nadia</t>
        </is>
      </c>
    </row>
    <row r="10">
      <c r="A10" s="13" t="n">
        <v>46381</v>
      </c>
      <c r="B10" s="5" t="inlineStr">
        <is>
          <t>Noël</t>
        </is>
      </c>
      <c r="D10" s="4" t="inlineStr">
        <is>
          <t>Theo</t>
        </is>
      </c>
    </row>
    <row r="11">
      <c r="A11" s="13" t="n">
        <v>46388</v>
      </c>
      <c r="B11" s="5" t="inlineStr">
        <is>
          <t>Jour de l’an</t>
        </is>
      </c>
      <c r="D11" s="4" t="inlineStr">
        <is>
          <t>Mara</t>
        </is>
      </c>
    </row>
    <row r="12">
      <c r="A12" s="13" t="n"/>
      <c r="B12" s="5" t="n"/>
      <c r="D12" s="4" t="n"/>
    </row>
    <row r="13">
      <c r="A13" s="13" t="n"/>
      <c r="B13" s="5" t="n"/>
      <c r="D13" s="4" t="n"/>
    </row>
    <row r="14">
      <c r="A14" s="13" t="n"/>
      <c r="B14" s="5" t="n"/>
      <c r="D14" s="4" t="n"/>
    </row>
    <row r="15">
      <c r="A15" s="13" t="n"/>
      <c r="B15" s="5" t="n"/>
      <c r="D15" s="4" t="n"/>
    </row>
    <row r="16">
      <c r="A16" s="13" t="n"/>
      <c r="B16" s="5" t="n"/>
      <c r="D16" s="4" t="n"/>
    </row>
    <row r="17">
      <c r="A17" s="13" t="n"/>
      <c r="B17" s="5" t="n"/>
      <c r="D17" s="4" t="n"/>
    </row>
    <row r="18">
      <c r="A18" s="13" t="n"/>
      <c r="B18" s="5" t="n"/>
      <c r="D18" s="4" t="n"/>
    </row>
    <row r="19">
      <c r="A19" s="13" t="n"/>
      <c r="B19" s="5" t="n"/>
      <c r="D19" s="4" t="n"/>
    </row>
    <row r="20">
      <c r="A20" s="13" t="n"/>
      <c r="B20" s="5" t="n"/>
      <c r="D20" s="4" t="n"/>
    </row>
    <row r="21">
      <c r="A21" s="13" t="n"/>
      <c r="B21" s="5" t="n"/>
    </row>
    <row r="22">
      <c r="A22" s="13" t="n"/>
      <c r="B22" s="5" t="n"/>
    </row>
    <row r="23">
      <c r="A23" s="13" t="n"/>
      <c r="B23" s="5" t="n"/>
    </row>
    <row r="24">
      <c r="A24" s="13" t="n"/>
      <c r="B24" s="5" t="n"/>
    </row>
    <row r="25">
      <c r="A25" s="13" t="n"/>
      <c r="B25" s="5" t="n"/>
    </row>
    <row r="26">
      <c r="A26" s="13" t="n"/>
      <c r="B26" s="5" t="n"/>
    </row>
    <row r="27">
      <c r="A27" s="13" t="n"/>
      <c r="B27" s="5" t="n"/>
    </row>
    <row r="28">
      <c r="A28" s="13" t="n"/>
      <c r="B28" s="5" t="n"/>
    </row>
    <row r="29">
      <c r="A29" s="13" t="n"/>
      <c r="B29" s="5" t="n"/>
    </row>
    <row r="30">
      <c r="A30" s="13" t="n"/>
      <c r="B30" s="5" t="n"/>
    </row>
    <row r="31">
      <c r="A31" s="13" t="n"/>
      <c r="B31" s="5" t="n"/>
    </row>
    <row r="32">
      <c r="A32" s="13" t="n"/>
      <c r="B32" s="5" t="n"/>
    </row>
    <row r="33">
      <c r="A33" s="13" t="n"/>
      <c r="B33" s="5" t="n"/>
    </row>
    <row r="34">
      <c r="A34" s="13" t="n"/>
      <c r="B34" s="5" t="n"/>
    </row>
    <row r="35">
      <c r="A35" s="13" t="n"/>
      <c r="B35" s="5" t="n"/>
    </row>
    <row r="36">
      <c r="A36" s="13" t="n"/>
      <c r="B36" s="5" t="n"/>
    </row>
    <row r="37">
      <c r="A37" s="13" t="n"/>
      <c r="B37" s="5" t="n"/>
    </row>
    <row r="38">
      <c r="A38" s="13" t="n"/>
      <c r="B38" s="5"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8"/>
  <sheetViews>
    <sheetView rightToLeft="0" workbookViewId="0">
      <selection activeCell="A1" sqref="A1"/>
    </sheetView>
  </sheetViews>
  <sheetFormatPr baseColWidth="8" defaultRowHeight="15"/>
  <cols>
    <col width="44" customWidth="1" min="1" max="1"/>
    <col width="13" customWidth="1" min="2" max="2"/>
    <col width="11" customWidth="1" min="3" max="3"/>
    <col width="11" customWidth="1" min="4" max="4"/>
    <col width="11" customWidth="1" min="5" max="5"/>
    <col width="13" customWidth="1" min="6" max="6"/>
    <col width="16" customWidth="1" min="7" max="7"/>
  </cols>
  <sheetData>
    <row r="1">
      <c r="A1" s="1" t="inlineStr">
        <is>
          <t>Synthèse</t>
        </is>
      </c>
    </row>
    <row r="2">
      <c r="A2" s="2" t="inlineStr">
        <is>
          <t>Tout ce qui figure sur cette feuille se remplit seul à partir des autres feuilles.</t>
        </is>
      </c>
    </row>
    <row r="4">
      <c r="A4" s="15" t="inlineStr">
        <is>
          <t>Totaux</t>
        </is>
      </c>
    </row>
    <row r="5">
      <c r="A5" s="5" t="inlineStr">
        <is>
          <t>Chats transférés à une personne</t>
        </is>
      </c>
      <c r="B5" s="16">
        <f>COUNT('Journal des réponses'!$A$5:$A$204)</f>
        <v/>
      </c>
    </row>
    <row r="6">
      <c r="A6" s="5" t="inlineStr">
        <is>
          <t>À temps</t>
        </is>
      </c>
      <c r="B6" s="16">
        <f>COUNTIF('Journal des réponses'!$L$5:$L$204,"À temps")</f>
        <v/>
      </c>
    </row>
    <row r="7">
      <c r="A7" s="5" t="inlineStr">
        <is>
          <t>En retard</t>
        </is>
      </c>
      <c r="B7" s="16">
        <f>COUNTIF('Journal des réponses'!$L$5:$L$204,"En retard")</f>
        <v/>
      </c>
    </row>
    <row r="8">
      <c r="A8" s="5" t="inlineStr">
        <is>
          <t>Sans réponse</t>
        </is>
      </c>
      <c r="B8" s="16">
        <f>COUNTIF('Journal des réponses'!$L$5:$L$204,"Sans réponse")</f>
        <v/>
      </c>
    </row>
    <row r="9">
      <c r="A9" s="5" t="inlineStr">
        <is>
          <t>En cours</t>
        </is>
      </c>
      <c r="B9" s="16">
        <f>COUNTIF('Journal des réponses'!$L$5:$L$204,"En cours")</f>
        <v/>
      </c>
    </row>
    <row r="10">
      <c r="A10" s="5" t="inlineStr">
        <is>
          <t>Taux de réponse à temps (sur à temps, en retard et sans réponse)</t>
        </is>
      </c>
      <c r="B10" s="17">
        <f>IFERROR(B6/(B6+B7+B8),"")</f>
        <v/>
      </c>
    </row>
    <row r="11">
      <c r="A11" s="5" t="inlineStr">
        <is>
          <t>Minutes moyennes avant la première réponse, en heures ouvrées</t>
        </is>
      </c>
      <c r="B11" s="16">
        <f>IFERROR(ROUND(AVERAGEIFS('Journal des réponses'!$K$5:$K$204,'Journal des réponses'!$I$5:$I$204,"Oui"),1),"")</f>
        <v/>
      </c>
    </row>
    <row r="12">
      <c r="A12" s="5" t="inlineStr">
        <is>
          <t>Escaladés</t>
        </is>
      </c>
      <c r="B12" s="16">
        <f>COUNTIF('Journal des réponses'!$M$5:$M$204,"Oui")</f>
        <v/>
      </c>
    </row>
    <row r="13">
      <c r="A13" s="5" t="inlineStr">
        <is>
          <t>Lignes de routage</t>
        </is>
      </c>
      <c r="B13" s="16">
        <f>COUNTA('Tableau de routage'!$A$5:$A$29)</f>
        <v/>
      </c>
    </row>
    <row r="14">
      <c r="A14" s="5" t="inlineStr">
        <is>
          <t>Lignes de routage prêtes</t>
        </is>
      </c>
      <c r="B14" s="16">
        <f>COUNTIF('Tableau de routage'!$M$5:$M$29,"Prête")</f>
        <v/>
      </c>
    </row>
    <row r="15">
      <c r="A15" s="5" t="inlineStr">
        <is>
          <t>Changements de canal complets</t>
        </is>
      </c>
      <c r="B15" s="16">
        <f>COUNTIF('Changements de canal'!$J$5:$J$104,"Complet")</f>
        <v/>
      </c>
    </row>
    <row r="16">
      <c r="A16" s="5" t="inlineStr">
        <is>
          <t>Changements de canal avec une étape manquante</t>
        </is>
      </c>
      <c r="B16" s="16">
        <f>COUNTIF('Changements de canal'!$J$5:$J$104,"Étape manquante")</f>
        <v/>
      </c>
    </row>
    <row r="17">
      <c r="A17" s="5" t="inlineStr">
        <is>
          <t>Changements de canal sans consentement</t>
        </is>
      </c>
      <c r="B17" s="16">
        <f>COUNTIF('Changements de canal'!$J$5:$J$104,"Sans consentement")</f>
        <v/>
      </c>
    </row>
    <row r="19">
      <c r="A19" s="15" t="inlineStr">
        <is>
          <t>Par sujet</t>
        </is>
      </c>
    </row>
    <row r="20" ht="30" customHeight="1">
      <c r="A20" s="3" t="inlineStr">
        <is>
          <t>Sujet</t>
        </is>
      </c>
      <c r="B20" s="3" t="inlineStr">
        <is>
          <t>Chats</t>
        </is>
      </c>
      <c r="C20" s="3" t="inlineStr">
        <is>
          <t>À temps</t>
        </is>
      </c>
      <c r="D20" s="3" t="inlineStr">
        <is>
          <t>En retard</t>
        </is>
      </c>
      <c r="E20" s="3" t="inlineStr">
        <is>
          <t>Sans réponse</t>
        </is>
      </c>
      <c r="F20" s="3" t="inlineStr">
        <is>
          <t>Taux à temps</t>
        </is>
      </c>
      <c r="G20" s="3" t="inlineStr">
        <is>
          <t>Minutes moyennes en heures ouvrées</t>
        </is>
      </c>
    </row>
    <row r="21">
      <c r="A21" s="18">
        <f>IF('Tableau de routage'!A5="","",'Tableau de routage'!A5)</f>
        <v/>
      </c>
      <c r="B21" s="9">
        <f>IF(A21="","",COUNTIF('Journal des réponses'!$C$5:$C$204,A21))</f>
        <v/>
      </c>
      <c r="C21" s="9">
        <f>IF(A21="","",COUNTIFS('Journal des réponses'!$C$5:$C$204,A21,'Journal des réponses'!$L$5:$L$204,"À temps"))</f>
        <v/>
      </c>
      <c r="D21" s="9">
        <f>IF(A21="","",COUNTIFS('Journal des réponses'!$C$5:$C$204,A21,'Journal des réponses'!$L$5:$L$204,"En retard"))</f>
        <v/>
      </c>
      <c r="E21" s="9">
        <f>IF(A21="","",COUNTIFS('Journal des réponses'!$C$5:$C$204,A21,'Journal des réponses'!$L$5:$L$204,"Sans réponse"))</f>
        <v/>
      </c>
      <c r="F21" s="19">
        <f>IF(A21="","",IFERROR(C21/(C21+D21+E21),""))</f>
        <v/>
      </c>
      <c r="G21" s="9">
        <f>IF(A21="","",IFERROR(ROUND(AVERAGEIFS('Journal des réponses'!$K$5:$K$204,'Journal des réponses'!$C$5:$C$204,A21,'Journal des réponses'!$I$5:$I$204,"Oui"),1),""))</f>
        <v/>
      </c>
    </row>
    <row r="22">
      <c r="A22" s="18">
        <f>IF('Tableau de routage'!A6="","",'Tableau de routage'!A6)</f>
        <v/>
      </c>
      <c r="B22" s="9">
        <f>IF(A22="","",COUNTIF('Journal des réponses'!$C$5:$C$204,A22))</f>
        <v/>
      </c>
      <c r="C22" s="9">
        <f>IF(A22="","",COUNTIFS('Journal des réponses'!$C$5:$C$204,A22,'Journal des réponses'!$L$5:$L$204,"À temps"))</f>
        <v/>
      </c>
      <c r="D22" s="9">
        <f>IF(A22="","",COUNTIFS('Journal des réponses'!$C$5:$C$204,A22,'Journal des réponses'!$L$5:$L$204,"En retard"))</f>
        <v/>
      </c>
      <c r="E22" s="9">
        <f>IF(A22="","",COUNTIFS('Journal des réponses'!$C$5:$C$204,A22,'Journal des réponses'!$L$5:$L$204,"Sans réponse"))</f>
        <v/>
      </c>
      <c r="F22" s="19">
        <f>IF(A22="","",IFERROR(C22/(C22+D22+E22),""))</f>
        <v/>
      </c>
      <c r="G22" s="9">
        <f>IF(A22="","",IFERROR(ROUND(AVERAGEIFS('Journal des réponses'!$K$5:$K$204,'Journal des réponses'!$C$5:$C$204,A22,'Journal des réponses'!$I$5:$I$204,"Oui"),1),""))</f>
        <v/>
      </c>
    </row>
    <row r="23">
      <c r="A23" s="18">
        <f>IF('Tableau de routage'!A7="","",'Tableau de routage'!A7)</f>
        <v/>
      </c>
      <c r="B23" s="9">
        <f>IF(A23="","",COUNTIF('Journal des réponses'!$C$5:$C$204,A23))</f>
        <v/>
      </c>
      <c r="C23" s="9">
        <f>IF(A23="","",COUNTIFS('Journal des réponses'!$C$5:$C$204,A23,'Journal des réponses'!$L$5:$L$204,"À temps"))</f>
        <v/>
      </c>
      <c r="D23" s="9">
        <f>IF(A23="","",COUNTIFS('Journal des réponses'!$C$5:$C$204,A23,'Journal des réponses'!$L$5:$L$204,"En retard"))</f>
        <v/>
      </c>
      <c r="E23" s="9">
        <f>IF(A23="","",COUNTIFS('Journal des réponses'!$C$5:$C$204,A23,'Journal des réponses'!$L$5:$L$204,"Sans réponse"))</f>
        <v/>
      </c>
      <c r="F23" s="19">
        <f>IF(A23="","",IFERROR(C23/(C23+D23+E23),""))</f>
        <v/>
      </c>
      <c r="G23" s="9">
        <f>IF(A23="","",IFERROR(ROUND(AVERAGEIFS('Journal des réponses'!$K$5:$K$204,'Journal des réponses'!$C$5:$C$204,A23,'Journal des réponses'!$I$5:$I$204,"Oui"),1),""))</f>
        <v/>
      </c>
    </row>
    <row r="24">
      <c r="A24" s="18">
        <f>IF('Tableau de routage'!A8="","",'Tableau de routage'!A8)</f>
        <v/>
      </c>
      <c r="B24" s="9">
        <f>IF(A24="","",COUNTIF('Journal des réponses'!$C$5:$C$204,A24))</f>
        <v/>
      </c>
      <c r="C24" s="9">
        <f>IF(A24="","",COUNTIFS('Journal des réponses'!$C$5:$C$204,A24,'Journal des réponses'!$L$5:$L$204,"À temps"))</f>
        <v/>
      </c>
      <c r="D24" s="9">
        <f>IF(A24="","",COUNTIFS('Journal des réponses'!$C$5:$C$204,A24,'Journal des réponses'!$L$5:$L$204,"En retard"))</f>
        <v/>
      </c>
      <c r="E24" s="9">
        <f>IF(A24="","",COUNTIFS('Journal des réponses'!$C$5:$C$204,A24,'Journal des réponses'!$L$5:$L$204,"Sans réponse"))</f>
        <v/>
      </c>
      <c r="F24" s="19">
        <f>IF(A24="","",IFERROR(C24/(C24+D24+E24),""))</f>
        <v/>
      </c>
      <c r="G24" s="9">
        <f>IF(A24="","",IFERROR(ROUND(AVERAGEIFS('Journal des réponses'!$K$5:$K$204,'Journal des réponses'!$C$5:$C$204,A24,'Journal des réponses'!$I$5:$I$204,"Oui"),1),""))</f>
        <v/>
      </c>
    </row>
    <row r="25">
      <c r="A25" s="18">
        <f>IF('Tableau de routage'!A9="","",'Tableau de routage'!A9)</f>
        <v/>
      </c>
      <c r="B25" s="9">
        <f>IF(A25="","",COUNTIF('Journal des réponses'!$C$5:$C$204,A25))</f>
        <v/>
      </c>
      <c r="C25" s="9">
        <f>IF(A25="","",COUNTIFS('Journal des réponses'!$C$5:$C$204,A25,'Journal des réponses'!$L$5:$L$204,"À temps"))</f>
        <v/>
      </c>
      <c r="D25" s="9">
        <f>IF(A25="","",COUNTIFS('Journal des réponses'!$C$5:$C$204,A25,'Journal des réponses'!$L$5:$L$204,"En retard"))</f>
        <v/>
      </c>
      <c r="E25" s="9">
        <f>IF(A25="","",COUNTIFS('Journal des réponses'!$C$5:$C$204,A25,'Journal des réponses'!$L$5:$L$204,"Sans réponse"))</f>
        <v/>
      </c>
      <c r="F25" s="19">
        <f>IF(A25="","",IFERROR(C25/(C25+D25+E25),""))</f>
        <v/>
      </c>
      <c r="G25" s="9">
        <f>IF(A25="","",IFERROR(ROUND(AVERAGEIFS('Journal des réponses'!$K$5:$K$204,'Journal des réponses'!$C$5:$C$204,A25,'Journal des réponses'!$I$5:$I$204,"Oui"),1),""))</f>
        <v/>
      </c>
    </row>
    <row r="26">
      <c r="A26" s="18">
        <f>IF('Tableau de routage'!A10="","",'Tableau de routage'!A10)</f>
        <v/>
      </c>
      <c r="B26" s="9">
        <f>IF(A26="","",COUNTIF('Journal des réponses'!$C$5:$C$204,A26))</f>
        <v/>
      </c>
      <c r="C26" s="9">
        <f>IF(A26="","",COUNTIFS('Journal des réponses'!$C$5:$C$204,A26,'Journal des réponses'!$L$5:$L$204,"À temps"))</f>
        <v/>
      </c>
      <c r="D26" s="9">
        <f>IF(A26="","",COUNTIFS('Journal des réponses'!$C$5:$C$204,A26,'Journal des réponses'!$L$5:$L$204,"En retard"))</f>
        <v/>
      </c>
      <c r="E26" s="9">
        <f>IF(A26="","",COUNTIFS('Journal des réponses'!$C$5:$C$204,A26,'Journal des réponses'!$L$5:$L$204,"Sans réponse"))</f>
        <v/>
      </c>
      <c r="F26" s="19">
        <f>IF(A26="","",IFERROR(C26/(C26+D26+E26),""))</f>
        <v/>
      </c>
      <c r="G26" s="9">
        <f>IF(A26="","",IFERROR(ROUND(AVERAGEIFS('Journal des réponses'!$K$5:$K$204,'Journal des réponses'!$C$5:$C$204,A26,'Journal des réponses'!$I$5:$I$204,"Oui"),1),""))</f>
        <v/>
      </c>
    </row>
    <row r="27">
      <c r="A27" s="18">
        <f>IF('Tableau de routage'!A11="","",'Tableau de routage'!A11)</f>
        <v/>
      </c>
      <c r="B27" s="9">
        <f>IF(A27="","",COUNTIF('Journal des réponses'!$C$5:$C$204,A27))</f>
        <v/>
      </c>
      <c r="C27" s="9">
        <f>IF(A27="","",COUNTIFS('Journal des réponses'!$C$5:$C$204,A27,'Journal des réponses'!$L$5:$L$204,"À temps"))</f>
        <v/>
      </c>
      <c r="D27" s="9">
        <f>IF(A27="","",COUNTIFS('Journal des réponses'!$C$5:$C$204,A27,'Journal des réponses'!$L$5:$L$204,"En retard"))</f>
        <v/>
      </c>
      <c r="E27" s="9">
        <f>IF(A27="","",COUNTIFS('Journal des réponses'!$C$5:$C$204,A27,'Journal des réponses'!$L$5:$L$204,"Sans réponse"))</f>
        <v/>
      </c>
      <c r="F27" s="19">
        <f>IF(A27="","",IFERROR(C27/(C27+D27+E27),""))</f>
        <v/>
      </c>
      <c r="G27" s="9">
        <f>IF(A27="","",IFERROR(ROUND(AVERAGEIFS('Journal des réponses'!$K$5:$K$204,'Journal des réponses'!$C$5:$C$204,A27,'Journal des réponses'!$I$5:$I$204,"Oui"),1),""))</f>
        <v/>
      </c>
    </row>
    <row r="28">
      <c r="A28" s="18">
        <f>IF('Tableau de routage'!A12="","",'Tableau de routage'!A12)</f>
        <v/>
      </c>
      <c r="B28" s="9">
        <f>IF(A28="","",COUNTIF('Journal des réponses'!$C$5:$C$204,A28))</f>
        <v/>
      </c>
      <c r="C28" s="9">
        <f>IF(A28="","",COUNTIFS('Journal des réponses'!$C$5:$C$204,A28,'Journal des réponses'!$L$5:$L$204,"À temps"))</f>
        <v/>
      </c>
      <c r="D28" s="9">
        <f>IF(A28="","",COUNTIFS('Journal des réponses'!$C$5:$C$204,A28,'Journal des réponses'!$L$5:$L$204,"En retard"))</f>
        <v/>
      </c>
      <c r="E28" s="9">
        <f>IF(A28="","",COUNTIFS('Journal des réponses'!$C$5:$C$204,A28,'Journal des réponses'!$L$5:$L$204,"Sans réponse"))</f>
        <v/>
      </c>
      <c r="F28" s="19">
        <f>IF(A28="","",IFERROR(C28/(C28+D28+E28),""))</f>
        <v/>
      </c>
      <c r="G28" s="9">
        <f>IF(A28="","",IFERROR(ROUND(AVERAGEIFS('Journal des réponses'!$K$5:$K$204,'Journal des réponses'!$C$5:$C$204,A28,'Journal des réponses'!$I$5:$I$204,"Oui"),1),""))</f>
        <v/>
      </c>
    </row>
    <row r="29">
      <c r="A29" s="18">
        <f>IF('Tableau de routage'!A13="","",'Tableau de routage'!A13)</f>
        <v/>
      </c>
      <c r="B29" s="9">
        <f>IF(A29="","",COUNTIF('Journal des réponses'!$C$5:$C$204,A29))</f>
        <v/>
      </c>
      <c r="C29" s="9">
        <f>IF(A29="","",COUNTIFS('Journal des réponses'!$C$5:$C$204,A29,'Journal des réponses'!$L$5:$L$204,"À temps"))</f>
        <v/>
      </c>
      <c r="D29" s="9">
        <f>IF(A29="","",COUNTIFS('Journal des réponses'!$C$5:$C$204,A29,'Journal des réponses'!$L$5:$L$204,"En retard"))</f>
        <v/>
      </c>
      <c r="E29" s="9">
        <f>IF(A29="","",COUNTIFS('Journal des réponses'!$C$5:$C$204,A29,'Journal des réponses'!$L$5:$L$204,"Sans réponse"))</f>
        <v/>
      </c>
      <c r="F29" s="19">
        <f>IF(A29="","",IFERROR(C29/(C29+D29+E29),""))</f>
        <v/>
      </c>
      <c r="G29" s="9">
        <f>IF(A29="","",IFERROR(ROUND(AVERAGEIFS('Journal des réponses'!$K$5:$K$204,'Journal des réponses'!$C$5:$C$204,A29,'Journal des réponses'!$I$5:$I$204,"Oui"),1),""))</f>
        <v/>
      </c>
    </row>
    <row r="30">
      <c r="A30" s="18">
        <f>IF('Tableau de routage'!A14="","",'Tableau de routage'!A14)</f>
        <v/>
      </c>
      <c r="B30" s="9">
        <f>IF(A30="","",COUNTIF('Journal des réponses'!$C$5:$C$204,A30))</f>
        <v/>
      </c>
      <c r="C30" s="9">
        <f>IF(A30="","",COUNTIFS('Journal des réponses'!$C$5:$C$204,A30,'Journal des réponses'!$L$5:$L$204,"À temps"))</f>
        <v/>
      </c>
      <c r="D30" s="9">
        <f>IF(A30="","",COUNTIFS('Journal des réponses'!$C$5:$C$204,A30,'Journal des réponses'!$L$5:$L$204,"En retard"))</f>
        <v/>
      </c>
      <c r="E30" s="9">
        <f>IF(A30="","",COUNTIFS('Journal des réponses'!$C$5:$C$204,A30,'Journal des réponses'!$L$5:$L$204,"Sans réponse"))</f>
        <v/>
      </c>
      <c r="F30" s="19">
        <f>IF(A30="","",IFERROR(C30/(C30+D30+E30),""))</f>
        <v/>
      </c>
      <c r="G30" s="9">
        <f>IF(A30="","",IFERROR(ROUND(AVERAGEIFS('Journal des réponses'!$K$5:$K$204,'Journal des réponses'!$C$5:$C$204,A30,'Journal des réponses'!$I$5:$I$204,"Oui"),1),""))</f>
        <v/>
      </c>
    </row>
    <row r="31">
      <c r="A31" s="18">
        <f>IF('Tableau de routage'!A15="","",'Tableau de routage'!A15)</f>
        <v/>
      </c>
      <c r="B31" s="9">
        <f>IF(A31="","",COUNTIF('Journal des réponses'!$C$5:$C$204,A31))</f>
        <v/>
      </c>
      <c r="C31" s="9">
        <f>IF(A31="","",COUNTIFS('Journal des réponses'!$C$5:$C$204,A31,'Journal des réponses'!$L$5:$L$204,"À temps"))</f>
        <v/>
      </c>
      <c r="D31" s="9">
        <f>IF(A31="","",COUNTIFS('Journal des réponses'!$C$5:$C$204,A31,'Journal des réponses'!$L$5:$L$204,"En retard"))</f>
        <v/>
      </c>
      <c r="E31" s="9">
        <f>IF(A31="","",COUNTIFS('Journal des réponses'!$C$5:$C$204,A31,'Journal des réponses'!$L$5:$L$204,"Sans réponse"))</f>
        <v/>
      </c>
      <c r="F31" s="19">
        <f>IF(A31="","",IFERROR(C31/(C31+D31+E31),""))</f>
        <v/>
      </c>
      <c r="G31" s="9">
        <f>IF(A31="","",IFERROR(ROUND(AVERAGEIFS('Journal des réponses'!$K$5:$K$204,'Journal des réponses'!$C$5:$C$204,A31,'Journal des réponses'!$I$5:$I$204,"Oui"),1),""))</f>
        <v/>
      </c>
    </row>
    <row r="32">
      <c r="A32" s="18">
        <f>IF('Tableau de routage'!A16="","",'Tableau de routage'!A16)</f>
        <v/>
      </c>
      <c r="B32" s="9">
        <f>IF(A32="","",COUNTIF('Journal des réponses'!$C$5:$C$204,A32))</f>
        <v/>
      </c>
      <c r="C32" s="9">
        <f>IF(A32="","",COUNTIFS('Journal des réponses'!$C$5:$C$204,A32,'Journal des réponses'!$L$5:$L$204,"À temps"))</f>
        <v/>
      </c>
      <c r="D32" s="9">
        <f>IF(A32="","",COUNTIFS('Journal des réponses'!$C$5:$C$204,A32,'Journal des réponses'!$L$5:$L$204,"En retard"))</f>
        <v/>
      </c>
      <c r="E32" s="9">
        <f>IF(A32="","",COUNTIFS('Journal des réponses'!$C$5:$C$204,A32,'Journal des réponses'!$L$5:$L$204,"Sans réponse"))</f>
        <v/>
      </c>
      <c r="F32" s="19">
        <f>IF(A32="","",IFERROR(C32/(C32+D32+E32),""))</f>
        <v/>
      </c>
      <c r="G32" s="9">
        <f>IF(A32="","",IFERROR(ROUND(AVERAGEIFS('Journal des réponses'!$K$5:$K$204,'Journal des réponses'!$C$5:$C$204,A32,'Journal des réponses'!$I$5:$I$204,"Oui"),1),""))</f>
        <v/>
      </c>
    </row>
    <row r="33">
      <c r="A33" s="18">
        <f>IF('Tableau de routage'!A17="","",'Tableau de routage'!A17)</f>
        <v/>
      </c>
      <c r="B33" s="9">
        <f>IF(A33="","",COUNTIF('Journal des réponses'!$C$5:$C$204,A33))</f>
        <v/>
      </c>
      <c r="C33" s="9">
        <f>IF(A33="","",COUNTIFS('Journal des réponses'!$C$5:$C$204,A33,'Journal des réponses'!$L$5:$L$204,"À temps"))</f>
        <v/>
      </c>
      <c r="D33" s="9">
        <f>IF(A33="","",COUNTIFS('Journal des réponses'!$C$5:$C$204,A33,'Journal des réponses'!$L$5:$L$204,"En retard"))</f>
        <v/>
      </c>
      <c r="E33" s="9">
        <f>IF(A33="","",COUNTIFS('Journal des réponses'!$C$5:$C$204,A33,'Journal des réponses'!$L$5:$L$204,"Sans réponse"))</f>
        <v/>
      </c>
      <c r="F33" s="19">
        <f>IF(A33="","",IFERROR(C33/(C33+D33+E33),""))</f>
        <v/>
      </c>
      <c r="G33" s="9">
        <f>IF(A33="","",IFERROR(ROUND(AVERAGEIFS('Journal des réponses'!$K$5:$K$204,'Journal des réponses'!$C$5:$C$204,A33,'Journal des réponses'!$I$5:$I$204,"Oui"),1),""))</f>
        <v/>
      </c>
    </row>
    <row r="34">
      <c r="A34" s="18">
        <f>IF('Tableau de routage'!A18="","",'Tableau de routage'!A18)</f>
        <v/>
      </c>
      <c r="B34" s="9">
        <f>IF(A34="","",COUNTIF('Journal des réponses'!$C$5:$C$204,A34))</f>
        <v/>
      </c>
      <c r="C34" s="9">
        <f>IF(A34="","",COUNTIFS('Journal des réponses'!$C$5:$C$204,A34,'Journal des réponses'!$L$5:$L$204,"À temps"))</f>
        <v/>
      </c>
      <c r="D34" s="9">
        <f>IF(A34="","",COUNTIFS('Journal des réponses'!$C$5:$C$204,A34,'Journal des réponses'!$L$5:$L$204,"En retard"))</f>
        <v/>
      </c>
      <c r="E34" s="9">
        <f>IF(A34="","",COUNTIFS('Journal des réponses'!$C$5:$C$204,A34,'Journal des réponses'!$L$5:$L$204,"Sans réponse"))</f>
        <v/>
      </c>
      <c r="F34" s="19">
        <f>IF(A34="","",IFERROR(C34/(C34+D34+E34),""))</f>
        <v/>
      </c>
      <c r="G34" s="9">
        <f>IF(A34="","",IFERROR(ROUND(AVERAGEIFS('Journal des réponses'!$K$5:$K$204,'Journal des réponses'!$C$5:$C$204,A34,'Journal des réponses'!$I$5:$I$204,"Oui"),1),""))</f>
        <v/>
      </c>
    </row>
    <row r="35">
      <c r="A35" s="18">
        <f>IF('Tableau de routage'!A19="","",'Tableau de routage'!A19)</f>
        <v/>
      </c>
      <c r="B35" s="9">
        <f>IF(A35="","",COUNTIF('Journal des réponses'!$C$5:$C$204,A35))</f>
        <v/>
      </c>
      <c r="C35" s="9">
        <f>IF(A35="","",COUNTIFS('Journal des réponses'!$C$5:$C$204,A35,'Journal des réponses'!$L$5:$L$204,"À temps"))</f>
        <v/>
      </c>
      <c r="D35" s="9">
        <f>IF(A35="","",COUNTIFS('Journal des réponses'!$C$5:$C$204,A35,'Journal des réponses'!$L$5:$L$204,"En retard"))</f>
        <v/>
      </c>
      <c r="E35" s="9">
        <f>IF(A35="","",COUNTIFS('Journal des réponses'!$C$5:$C$204,A35,'Journal des réponses'!$L$5:$L$204,"Sans réponse"))</f>
        <v/>
      </c>
      <c r="F35" s="19">
        <f>IF(A35="","",IFERROR(C35/(C35+D35+E35),""))</f>
        <v/>
      </c>
      <c r="G35" s="9">
        <f>IF(A35="","",IFERROR(ROUND(AVERAGEIFS('Journal des réponses'!$K$5:$K$204,'Journal des réponses'!$C$5:$C$204,A35,'Journal des réponses'!$I$5:$I$204,"Oui"),1),""))</f>
        <v/>
      </c>
    </row>
    <row r="36">
      <c r="A36" s="18">
        <f>IF('Tableau de routage'!A20="","",'Tableau de routage'!A20)</f>
        <v/>
      </c>
      <c r="B36" s="9">
        <f>IF(A36="","",COUNTIF('Journal des réponses'!$C$5:$C$204,A36))</f>
        <v/>
      </c>
      <c r="C36" s="9">
        <f>IF(A36="","",COUNTIFS('Journal des réponses'!$C$5:$C$204,A36,'Journal des réponses'!$L$5:$L$204,"À temps"))</f>
        <v/>
      </c>
      <c r="D36" s="9">
        <f>IF(A36="","",COUNTIFS('Journal des réponses'!$C$5:$C$204,A36,'Journal des réponses'!$L$5:$L$204,"En retard"))</f>
        <v/>
      </c>
      <c r="E36" s="9">
        <f>IF(A36="","",COUNTIFS('Journal des réponses'!$C$5:$C$204,A36,'Journal des réponses'!$L$5:$L$204,"Sans réponse"))</f>
        <v/>
      </c>
      <c r="F36" s="19">
        <f>IF(A36="","",IFERROR(C36/(C36+D36+E36),""))</f>
        <v/>
      </c>
      <c r="G36" s="9">
        <f>IF(A36="","",IFERROR(ROUND(AVERAGEIFS('Journal des réponses'!$K$5:$K$204,'Journal des réponses'!$C$5:$C$204,A36,'Journal des réponses'!$I$5:$I$204,"Oui"),1),""))</f>
        <v/>
      </c>
    </row>
    <row r="37">
      <c r="A37" s="18">
        <f>IF('Tableau de routage'!A21="","",'Tableau de routage'!A21)</f>
        <v/>
      </c>
      <c r="B37" s="9">
        <f>IF(A37="","",COUNTIF('Journal des réponses'!$C$5:$C$204,A37))</f>
        <v/>
      </c>
      <c r="C37" s="9">
        <f>IF(A37="","",COUNTIFS('Journal des réponses'!$C$5:$C$204,A37,'Journal des réponses'!$L$5:$L$204,"À temps"))</f>
        <v/>
      </c>
      <c r="D37" s="9">
        <f>IF(A37="","",COUNTIFS('Journal des réponses'!$C$5:$C$204,A37,'Journal des réponses'!$L$5:$L$204,"En retard"))</f>
        <v/>
      </c>
      <c r="E37" s="9">
        <f>IF(A37="","",COUNTIFS('Journal des réponses'!$C$5:$C$204,A37,'Journal des réponses'!$L$5:$L$204,"Sans réponse"))</f>
        <v/>
      </c>
      <c r="F37" s="19">
        <f>IF(A37="","",IFERROR(C37/(C37+D37+E37),""))</f>
        <v/>
      </c>
      <c r="G37" s="9">
        <f>IF(A37="","",IFERROR(ROUND(AVERAGEIFS('Journal des réponses'!$K$5:$K$204,'Journal des réponses'!$C$5:$C$204,A37,'Journal des réponses'!$I$5:$I$204,"Oui"),1),""))</f>
        <v/>
      </c>
    </row>
    <row r="38">
      <c r="A38" s="18">
        <f>IF('Tableau de routage'!A22="","",'Tableau de routage'!A22)</f>
        <v/>
      </c>
      <c r="B38" s="9">
        <f>IF(A38="","",COUNTIF('Journal des réponses'!$C$5:$C$204,A38))</f>
        <v/>
      </c>
      <c r="C38" s="9">
        <f>IF(A38="","",COUNTIFS('Journal des réponses'!$C$5:$C$204,A38,'Journal des réponses'!$L$5:$L$204,"À temps"))</f>
        <v/>
      </c>
      <c r="D38" s="9">
        <f>IF(A38="","",COUNTIFS('Journal des réponses'!$C$5:$C$204,A38,'Journal des réponses'!$L$5:$L$204,"En retard"))</f>
        <v/>
      </c>
      <c r="E38" s="9">
        <f>IF(A38="","",COUNTIFS('Journal des réponses'!$C$5:$C$204,A38,'Journal des réponses'!$L$5:$L$204,"Sans réponse"))</f>
        <v/>
      </c>
      <c r="F38" s="19">
        <f>IF(A38="","",IFERROR(C38/(C38+D38+E38),""))</f>
        <v/>
      </c>
      <c r="G38" s="9">
        <f>IF(A38="","",IFERROR(ROUND(AVERAGEIFS('Journal des réponses'!$K$5:$K$204,'Journal des réponses'!$C$5:$C$204,A38,'Journal des réponses'!$I$5:$I$204,"Oui"),1),""))</f>
        <v/>
      </c>
    </row>
    <row r="39">
      <c r="A39" s="18">
        <f>IF('Tableau de routage'!A23="","",'Tableau de routage'!A23)</f>
        <v/>
      </c>
      <c r="B39" s="9">
        <f>IF(A39="","",COUNTIF('Journal des réponses'!$C$5:$C$204,A39))</f>
        <v/>
      </c>
      <c r="C39" s="9">
        <f>IF(A39="","",COUNTIFS('Journal des réponses'!$C$5:$C$204,A39,'Journal des réponses'!$L$5:$L$204,"À temps"))</f>
        <v/>
      </c>
      <c r="D39" s="9">
        <f>IF(A39="","",COUNTIFS('Journal des réponses'!$C$5:$C$204,A39,'Journal des réponses'!$L$5:$L$204,"En retard"))</f>
        <v/>
      </c>
      <c r="E39" s="9">
        <f>IF(A39="","",COUNTIFS('Journal des réponses'!$C$5:$C$204,A39,'Journal des réponses'!$L$5:$L$204,"Sans réponse"))</f>
        <v/>
      </c>
      <c r="F39" s="19">
        <f>IF(A39="","",IFERROR(C39/(C39+D39+E39),""))</f>
        <v/>
      </c>
      <c r="G39" s="9">
        <f>IF(A39="","",IFERROR(ROUND(AVERAGEIFS('Journal des réponses'!$K$5:$K$204,'Journal des réponses'!$C$5:$C$204,A39,'Journal des réponses'!$I$5:$I$204,"Oui"),1),""))</f>
        <v/>
      </c>
    </row>
    <row r="40">
      <c r="A40" s="18">
        <f>IF('Tableau de routage'!A24="","",'Tableau de routage'!A24)</f>
        <v/>
      </c>
      <c r="B40" s="9">
        <f>IF(A40="","",COUNTIF('Journal des réponses'!$C$5:$C$204,A40))</f>
        <v/>
      </c>
      <c r="C40" s="9">
        <f>IF(A40="","",COUNTIFS('Journal des réponses'!$C$5:$C$204,A40,'Journal des réponses'!$L$5:$L$204,"À temps"))</f>
        <v/>
      </c>
      <c r="D40" s="9">
        <f>IF(A40="","",COUNTIFS('Journal des réponses'!$C$5:$C$204,A40,'Journal des réponses'!$L$5:$L$204,"En retard"))</f>
        <v/>
      </c>
      <c r="E40" s="9">
        <f>IF(A40="","",COUNTIFS('Journal des réponses'!$C$5:$C$204,A40,'Journal des réponses'!$L$5:$L$204,"Sans réponse"))</f>
        <v/>
      </c>
      <c r="F40" s="19">
        <f>IF(A40="","",IFERROR(C40/(C40+D40+E40),""))</f>
        <v/>
      </c>
      <c r="G40" s="9">
        <f>IF(A40="","",IFERROR(ROUND(AVERAGEIFS('Journal des réponses'!$K$5:$K$204,'Journal des réponses'!$C$5:$C$204,A40,'Journal des réponses'!$I$5:$I$204,"Oui"),1),""))</f>
        <v/>
      </c>
    </row>
    <row r="41">
      <c r="A41" s="18">
        <f>IF('Tableau de routage'!A25="","",'Tableau de routage'!A25)</f>
        <v/>
      </c>
      <c r="B41" s="9">
        <f>IF(A41="","",COUNTIF('Journal des réponses'!$C$5:$C$204,A41))</f>
        <v/>
      </c>
      <c r="C41" s="9">
        <f>IF(A41="","",COUNTIFS('Journal des réponses'!$C$5:$C$204,A41,'Journal des réponses'!$L$5:$L$204,"À temps"))</f>
        <v/>
      </c>
      <c r="D41" s="9">
        <f>IF(A41="","",COUNTIFS('Journal des réponses'!$C$5:$C$204,A41,'Journal des réponses'!$L$5:$L$204,"En retard"))</f>
        <v/>
      </c>
      <c r="E41" s="9">
        <f>IF(A41="","",COUNTIFS('Journal des réponses'!$C$5:$C$204,A41,'Journal des réponses'!$L$5:$L$204,"Sans réponse"))</f>
        <v/>
      </c>
      <c r="F41" s="19">
        <f>IF(A41="","",IFERROR(C41/(C41+D41+E41),""))</f>
        <v/>
      </c>
      <c r="G41" s="9">
        <f>IF(A41="","",IFERROR(ROUND(AVERAGEIFS('Journal des réponses'!$K$5:$K$204,'Journal des réponses'!$C$5:$C$204,A41,'Journal des réponses'!$I$5:$I$204,"Oui"),1),""))</f>
        <v/>
      </c>
    </row>
    <row r="42">
      <c r="A42" s="18">
        <f>IF('Tableau de routage'!A26="","",'Tableau de routage'!A26)</f>
        <v/>
      </c>
      <c r="B42" s="9">
        <f>IF(A42="","",COUNTIF('Journal des réponses'!$C$5:$C$204,A42))</f>
        <v/>
      </c>
      <c r="C42" s="9">
        <f>IF(A42="","",COUNTIFS('Journal des réponses'!$C$5:$C$204,A42,'Journal des réponses'!$L$5:$L$204,"À temps"))</f>
        <v/>
      </c>
      <c r="D42" s="9">
        <f>IF(A42="","",COUNTIFS('Journal des réponses'!$C$5:$C$204,A42,'Journal des réponses'!$L$5:$L$204,"En retard"))</f>
        <v/>
      </c>
      <c r="E42" s="9">
        <f>IF(A42="","",COUNTIFS('Journal des réponses'!$C$5:$C$204,A42,'Journal des réponses'!$L$5:$L$204,"Sans réponse"))</f>
        <v/>
      </c>
      <c r="F42" s="19">
        <f>IF(A42="","",IFERROR(C42/(C42+D42+E42),""))</f>
        <v/>
      </c>
      <c r="G42" s="9">
        <f>IF(A42="","",IFERROR(ROUND(AVERAGEIFS('Journal des réponses'!$K$5:$K$204,'Journal des réponses'!$C$5:$C$204,A42,'Journal des réponses'!$I$5:$I$204,"Oui"),1),""))</f>
        <v/>
      </c>
    </row>
    <row r="43">
      <c r="A43" s="18">
        <f>IF('Tableau de routage'!A27="","",'Tableau de routage'!A27)</f>
        <v/>
      </c>
      <c r="B43" s="9">
        <f>IF(A43="","",COUNTIF('Journal des réponses'!$C$5:$C$204,A43))</f>
        <v/>
      </c>
      <c r="C43" s="9">
        <f>IF(A43="","",COUNTIFS('Journal des réponses'!$C$5:$C$204,A43,'Journal des réponses'!$L$5:$L$204,"À temps"))</f>
        <v/>
      </c>
      <c r="D43" s="9">
        <f>IF(A43="","",COUNTIFS('Journal des réponses'!$C$5:$C$204,A43,'Journal des réponses'!$L$5:$L$204,"En retard"))</f>
        <v/>
      </c>
      <c r="E43" s="9">
        <f>IF(A43="","",COUNTIFS('Journal des réponses'!$C$5:$C$204,A43,'Journal des réponses'!$L$5:$L$204,"Sans réponse"))</f>
        <v/>
      </c>
      <c r="F43" s="19">
        <f>IF(A43="","",IFERROR(C43/(C43+D43+E43),""))</f>
        <v/>
      </c>
      <c r="G43" s="9">
        <f>IF(A43="","",IFERROR(ROUND(AVERAGEIFS('Journal des réponses'!$K$5:$K$204,'Journal des réponses'!$C$5:$C$204,A43,'Journal des réponses'!$I$5:$I$204,"Oui"),1),""))</f>
        <v/>
      </c>
    </row>
    <row r="44">
      <c r="A44" s="18">
        <f>IF('Tableau de routage'!A28="","",'Tableau de routage'!A28)</f>
        <v/>
      </c>
      <c r="B44" s="9">
        <f>IF(A44="","",COUNTIF('Journal des réponses'!$C$5:$C$204,A44))</f>
        <v/>
      </c>
      <c r="C44" s="9">
        <f>IF(A44="","",COUNTIFS('Journal des réponses'!$C$5:$C$204,A44,'Journal des réponses'!$L$5:$L$204,"À temps"))</f>
        <v/>
      </c>
      <c r="D44" s="9">
        <f>IF(A44="","",COUNTIFS('Journal des réponses'!$C$5:$C$204,A44,'Journal des réponses'!$L$5:$L$204,"En retard"))</f>
        <v/>
      </c>
      <c r="E44" s="9">
        <f>IF(A44="","",COUNTIFS('Journal des réponses'!$C$5:$C$204,A44,'Journal des réponses'!$L$5:$L$204,"Sans réponse"))</f>
        <v/>
      </c>
      <c r="F44" s="19">
        <f>IF(A44="","",IFERROR(C44/(C44+D44+E44),""))</f>
        <v/>
      </c>
      <c r="G44" s="9">
        <f>IF(A44="","",IFERROR(ROUND(AVERAGEIFS('Journal des réponses'!$K$5:$K$204,'Journal des réponses'!$C$5:$C$204,A44,'Journal des réponses'!$I$5:$I$204,"Oui"),1),""))</f>
        <v/>
      </c>
    </row>
    <row r="45">
      <c r="A45" s="18">
        <f>IF('Tableau de routage'!A29="","",'Tableau de routage'!A29)</f>
        <v/>
      </c>
      <c r="B45" s="9">
        <f>IF(A45="","",COUNTIF('Journal des réponses'!$C$5:$C$204,A45))</f>
        <v/>
      </c>
      <c r="C45" s="9">
        <f>IF(A45="","",COUNTIFS('Journal des réponses'!$C$5:$C$204,A45,'Journal des réponses'!$L$5:$L$204,"À temps"))</f>
        <v/>
      </c>
      <c r="D45" s="9">
        <f>IF(A45="","",COUNTIFS('Journal des réponses'!$C$5:$C$204,A45,'Journal des réponses'!$L$5:$L$204,"En retard"))</f>
        <v/>
      </c>
      <c r="E45" s="9">
        <f>IF(A45="","",COUNTIFS('Journal des réponses'!$C$5:$C$204,A45,'Journal des réponses'!$L$5:$L$204,"Sans réponse"))</f>
        <v/>
      </c>
      <c r="F45" s="19">
        <f>IF(A45="","",IFERROR(C45/(C45+D45+E45),""))</f>
        <v/>
      </c>
      <c r="G45" s="9">
        <f>IF(A45="","",IFERROR(ROUND(AVERAGEIFS('Journal des réponses'!$K$5:$K$204,'Journal des réponses'!$C$5:$C$204,A45,'Journal des réponses'!$I$5:$I$204,"Oui"),1),""))</f>
        <v/>
      </c>
    </row>
    <row r="47">
      <c r="A47" s="15" t="inlineStr">
        <is>
          <t>Par responsable</t>
        </is>
      </c>
    </row>
    <row r="48" ht="30" customHeight="1">
      <c r="A48" s="3" t="inlineStr">
        <is>
          <t>Responsable</t>
        </is>
      </c>
      <c r="B48" s="3" t="inlineStr">
        <is>
          <t>Chats attribués</t>
        </is>
      </c>
      <c r="C48" s="3" t="inlineStr">
        <is>
          <t>À temps</t>
        </is>
      </c>
      <c r="D48" s="3" t="inlineStr">
        <is>
          <t>En retard</t>
        </is>
      </c>
      <c r="E48" s="3" t="inlineStr">
        <is>
          <t>Sans réponse</t>
        </is>
      </c>
      <c r="F48" s="3" t="inlineStr">
        <is>
          <t>Chats auxquels il a répondu</t>
        </is>
      </c>
    </row>
    <row r="49">
      <c r="A49" s="18">
        <f>IF('Horaires'!D9="","",'Horaires'!D9)</f>
        <v/>
      </c>
      <c r="B49" s="9">
        <f>IF(A49="","",COUNTIF('Journal des réponses'!$F$5:$F$204,A49))</f>
        <v/>
      </c>
      <c r="C49" s="9">
        <f>IF(A49="","",COUNTIFS('Journal des réponses'!$F$5:$F$204,A49,'Journal des réponses'!$L$5:$L$204,"À temps"))</f>
        <v/>
      </c>
      <c r="D49" s="9">
        <f>IF(A49="","",COUNTIFS('Journal des réponses'!$F$5:$F$204,A49,'Journal des réponses'!$L$5:$L$204,"En retard"))</f>
        <v/>
      </c>
      <c r="E49" s="9">
        <f>IF(A49="","",COUNTIFS('Journal des réponses'!$F$5:$F$204,A49,'Journal des réponses'!$L$5:$L$204,"Sans réponse"))</f>
        <v/>
      </c>
      <c r="F49" s="9">
        <f>IF(A49="","",COUNTIF('Journal des réponses'!$G$5:$G$204,A49))</f>
        <v/>
      </c>
    </row>
    <row r="50">
      <c r="A50" s="18">
        <f>IF('Horaires'!D10="","",'Horaires'!D10)</f>
        <v/>
      </c>
      <c r="B50" s="9">
        <f>IF(A50="","",COUNTIF('Journal des réponses'!$F$5:$F$204,A50))</f>
        <v/>
      </c>
      <c r="C50" s="9">
        <f>IF(A50="","",COUNTIFS('Journal des réponses'!$F$5:$F$204,A50,'Journal des réponses'!$L$5:$L$204,"À temps"))</f>
        <v/>
      </c>
      <c r="D50" s="9">
        <f>IF(A50="","",COUNTIFS('Journal des réponses'!$F$5:$F$204,A50,'Journal des réponses'!$L$5:$L$204,"En retard"))</f>
        <v/>
      </c>
      <c r="E50" s="9">
        <f>IF(A50="","",COUNTIFS('Journal des réponses'!$F$5:$F$204,A50,'Journal des réponses'!$L$5:$L$204,"Sans réponse"))</f>
        <v/>
      </c>
      <c r="F50" s="9">
        <f>IF(A50="","",COUNTIF('Journal des réponses'!$G$5:$G$204,A50))</f>
        <v/>
      </c>
    </row>
    <row r="51">
      <c r="A51" s="18">
        <f>IF('Horaires'!D11="","",'Horaires'!D11)</f>
        <v/>
      </c>
      <c r="B51" s="9">
        <f>IF(A51="","",COUNTIF('Journal des réponses'!$F$5:$F$204,A51))</f>
        <v/>
      </c>
      <c r="C51" s="9">
        <f>IF(A51="","",COUNTIFS('Journal des réponses'!$F$5:$F$204,A51,'Journal des réponses'!$L$5:$L$204,"À temps"))</f>
        <v/>
      </c>
      <c r="D51" s="9">
        <f>IF(A51="","",COUNTIFS('Journal des réponses'!$F$5:$F$204,A51,'Journal des réponses'!$L$5:$L$204,"En retard"))</f>
        <v/>
      </c>
      <c r="E51" s="9">
        <f>IF(A51="","",COUNTIFS('Journal des réponses'!$F$5:$F$204,A51,'Journal des réponses'!$L$5:$L$204,"Sans réponse"))</f>
        <v/>
      </c>
      <c r="F51" s="9">
        <f>IF(A51="","",COUNTIF('Journal des réponses'!$G$5:$G$204,A51))</f>
        <v/>
      </c>
    </row>
    <row r="52">
      <c r="A52" s="18">
        <f>IF('Horaires'!D12="","",'Horaires'!D12)</f>
        <v/>
      </c>
      <c r="B52" s="9">
        <f>IF(A52="","",COUNTIF('Journal des réponses'!$F$5:$F$204,A52))</f>
        <v/>
      </c>
      <c r="C52" s="9">
        <f>IF(A52="","",COUNTIFS('Journal des réponses'!$F$5:$F$204,A52,'Journal des réponses'!$L$5:$L$204,"À temps"))</f>
        <v/>
      </c>
      <c r="D52" s="9">
        <f>IF(A52="","",COUNTIFS('Journal des réponses'!$F$5:$F$204,A52,'Journal des réponses'!$L$5:$L$204,"En retard"))</f>
        <v/>
      </c>
      <c r="E52" s="9">
        <f>IF(A52="","",COUNTIFS('Journal des réponses'!$F$5:$F$204,A52,'Journal des réponses'!$L$5:$L$204,"Sans réponse"))</f>
        <v/>
      </c>
      <c r="F52" s="9">
        <f>IF(A52="","",COUNTIF('Journal des réponses'!$G$5:$G$204,A52))</f>
        <v/>
      </c>
    </row>
    <row r="53">
      <c r="A53" s="18">
        <f>IF('Horaires'!D13="","",'Horaires'!D13)</f>
        <v/>
      </c>
      <c r="B53" s="9">
        <f>IF(A53="","",COUNTIF('Journal des réponses'!$F$5:$F$204,A53))</f>
        <v/>
      </c>
      <c r="C53" s="9">
        <f>IF(A53="","",COUNTIFS('Journal des réponses'!$F$5:$F$204,A53,'Journal des réponses'!$L$5:$L$204,"À temps"))</f>
        <v/>
      </c>
      <c r="D53" s="9">
        <f>IF(A53="","",COUNTIFS('Journal des réponses'!$F$5:$F$204,A53,'Journal des réponses'!$L$5:$L$204,"En retard"))</f>
        <v/>
      </c>
      <c r="E53" s="9">
        <f>IF(A53="","",COUNTIFS('Journal des réponses'!$F$5:$F$204,A53,'Journal des réponses'!$L$5:$L$204,"Sans réponse"))</f>
        <v/>
      </c>
      <c r="F53" s="9">
        <f>IF(A53="","",COUNTIF('Journal des réponses'!$G$5:$G$204,A53))</f>
        <v/>
      </c>
    </row>
    <row r="54">
      <c r="A54" s="18">
        <f>IF('Horaires'!D14="","",'Horaires'!D14)</f>
        <v/>
      </c>
      <c r="B54" s="9">
        <f>IF(A54="","",COUNTIF('Journal des réponses'!$F$5:$F$204,A54))</f>
        <v/>
      </c>
      <c r="C54" s="9">
        <f>IF(A54="","",COUNTIFS('Journal des réponses'!$F$5:$F$204,A54,'Journal des réponses'!$L$5:$L$204,"À temps"))</f>
        <v/>
      </c>
      <c r="D54" s="9">
        <f>IF(A54="","",COUNTIFS('Journal des réponses'!$F$5:$F$204,A54,'Journal des réponses'!$L$5:$L$204,"En retard"))</f>
        <v/>
      </c>
      <c r="E54" s="9">
        <f>IF(A54="","",COUNTIFS('Journal des réponses'!$F$5:$F$204,A54,'Journal des réponses'!$L$5:$L$204,"Sans réponse"))</f>
        <v/>
      </c>
      <c r="F54" s="9">
        <f>IF(A54="","",COUNTIF('Journal des réponses'!$G$5:$G$204,A54))</f>
        <v/>
      </c>
    </row>
    <row r="55">
      <c r="A55" s="18">
        <f>IF('Horaires'!D15="","",'Horaires'!D15)</f>
        <v/>
      </c>
      <c r="B55" s="9">
        <f>IF(A55="","",COUNTIF('Journal des réponses'!$F$5:$F$204,A55))</f>
        <v/>
      </c>
      <c r="C55" s="9">
        <f>IF(A55="","",COUNTIFS('Journal des réponses'!$F$5:$F$204,A55,'Journal des réponses'!$L$5:$L$204,"À temps"))</f>
        <v/>
      </c>
      <c r="D55" s="9">
        <f>IF(A55="","",COUNTIFS('Journal des réponses'!$F$5:$F$204,A55,'Journal des réponses'!$L$5:$L$204,"En retard"))</f>
        <v/>
      </c>
      <c r="E55" s="9">
        <f>IF(A55="","",COUNTIFS('Journal des réponses'!$F$5:$F$204,A55,'Journal des réponses'!$L$5:$L$204,"Sans réponse"))</f>
        <v/>
      </c>
      <c r="F55" s="9">
        <f>IF(A55="","",COUNTIF('Journal des réponses'!$G$5:$G$204,A55))</f>
        <v/>
      </c>
    </row>
    <row r="56">
      <c r="A56" s="18">
        <f>IF('Horaires'!D16="","",'Horaires'!D16)</f>
        <v/>
      </c>
      <c r="B56" s="9">
        <f>IF(A56="","",COUNTIF('Journal des réponses'!$F$5:$F$204,A56))</f>
        <v/>
      </c>
      <c r="C56" s="9">
        <f>IF(A56="","",COUNTIFS('Journal des réponses'!$F$5:$F$204,A56,'Journal des réponses'!$L$5:$L$204,"À temps"))</f>
        <v/>
      </c>
      <c r="D56" s="9">
        <f>IF(A56="","",COUNTIFS('Journal des réponses'!$F$5:$F$204,A56,'Journal des réponses'!$L$5:$L$204,"En retard"))</f>
        <v/>
      </c>
      <c r="E56" s="9">
        <f>IF(A56="","",COUNTIFS('Journal des réponses'!$F$5:$F$204,A56,'Journal des réponses'!$L$5:$L$204,"Sans réponse"))</f>
        <v/>
      </c>
      <c r="F56" s="9">
        <f>IF(A56="","",COUNTIF('Journal des réponses'!$G$5:$G$204,A56))</f>
        <v/>
      </c>
    </row>
    <row r="57">
      <c r="A57" s="18">
        <f>IF('Horaires'!D17="","",'Horaires'!D17)</f>
        <v/>
      </c>
      <c r="B57" s="9">
        <f>IF(A57="","",COUNTIF('Journal des réponses'!$F$5:$F$204,A57))</f>
        <v/>
      </c>
      <c r="C57" s="9">
        <f>IF(A57="","",COUNTIFS('Journal des réponses'!$F$5:$F$204,A57,'Journal des réponses'!$L$5:$L$204,"À temps"))</f>
        <v/>
      </c>
      <c r="D57" s="9">
        <f>IF(A57="","",COUNTIFS('Journal des réponses'!$F$5:$F$204,A57,'Journal des réponses'!$L$5:$L$204,"En retard"))</f>
        <v/>
      </c>
      <c r="E57" s="9">
        <f>IF(A57="","",COUNTIFS('Journal des réponses'!$F$5:$F$204,A57,'Journal des réponses'!$L$5:$L$204,"Sans réponse"))</f>
        <v/>
      </c>
      <c r="F57" s="9">
        <f>IF(A57="","",COUNTIF('Journal des réponses'!$G$5:$G$204,A57))</f>
        <v/>
      </c>
    </row>
    <row r="58">
      <c r="A58" s="18">
        <f>IF('Horaires'!D18="","",'Horaires'!D18)</f>
        <v/>
      </c>
      <c r="B58" s="9">
        <f>IF(A58="","",COUNTIF('Journal des réponses'!$F$5:$F$204,A58))</f>
        <v/>
      </c>
      <c r="C58" s="9">
        <f>IF(A58="","",COUNTIFS('Journal des réponses'!$F$5:$F$204,A58,'Journal des réponses'!$L$5:$L$204,"À temps"))</f>
        <v/>
      </c>
      <c r="D58" s="9">
        <f>IF(A58="","",COUNTIFS('Journal des réponses'!$F$5:$F$204,A58,'Journal des réponses'!$L$5:$L$204,"En retard"))</f>
        <v/>
      </c>
      <c r="E58" s="9">
        <f>IF(A58="","",COUNTIFS('Journal des réponses'!$F$5:$F$204,A58,'Journal des réponses'!$L$5:$L$204,"Sans réponse"))</f>
        <v/>
      </c>
      <c r="F58" s="9">
        <f>IF(A58="","",COUNTIF('Journal des réponses'!$G$5:$G$204,A58))</f>
        <v/>
      </c>
    </row>
    <row r="59">
      <c r="A59" s="18">
        <f>IF('Horaires'!D19="","",'Horaires'!D19)</f>
        <v/>
      </c>
      <c r="B59" s="9">
        <f>IF(A59="","",COUNTIF('Journal des réponses'!$F$5:$F$204,A59))</f>
        <v/>
      </c>
      <c r="C59" s="9">
        <f>IF(A59="","",COUNTIFS('Journal des réponses'!$F$5:$F$204,A59,'Journal des réponses'!$L$5:$L$204,"À temps"))</f>
        <v/>
      </c>
      <c r="D59" s="9">
        <f>IF(A59="","",COUNTIFS('Journal des réponses'!$F$5:$F$204,A59,'Journal des réponses'!$L$5:$L$204,"En retard"))</f>
        <v/>
      </c>
      <c r="E59" s="9">
        <f>IF(A59="","",COUNTIFS('Journal des réponses'!$F$5:$F$204,A59,'Journal des réponses'!$L$5:$L$204,"Sans réponse"))</f>
        <v/>
      </c>
      <c r="F59" s="9">
        <f>IF(A59="","",COUNTIF('Journal des réponses'!$G$5:$G$204,A59))</f>
        <v/>
      </c>
    </row>
    <row r="60">
      <c r="A60" s="18">
        <f>IF('Horaires'!D20="","",'Horaires'!D20)</f>
        <v/>
      </c>
      <c r="B60" s="9">
        <f>IF(A60="","",COUNTIF('Journal des réponses'!$F$5:$F$204,A60))</f>
        <v/>
      </c>
      <c r="C60" s="9">
        <f>IF(A60="","",COUNTIFS('Journal des réponses'!$F$5:$F$204,A60,'Journal des réponses'!$L$5:$L$204,"À temps"))</f>
        <v/>
      </c>
      <c r="D60" s="9">
        <f>IF(A60="","",COUNTIFS('Journal des réponses'!$F$5:$F$204,A60,'Journal des réponses'!$L$5:$L$204,"En retard"))</f>
        <v/>
      </c>
      <c r="E60" s="9">
        <f>IF(A60="","",COUNTIFS('Journal des réponses'!$F$5:$F$204,A60,'Journal des réponses'!$L$5:$L$204,"Sans réponse"))</f>
        <v/>
      </c>
      <c r="F60" s="9">
        <f>IF(A60="","",COUNTIF('Journal des réponses'!$G$5:$G$204,A60))</f>
        <v/>
      </c>
    </row>
    <row r="62">
      <c r="A62" s="15" t="inlineStr">
        <is>
          <t>Par semaine</t>
        </is>
      </c>
    </row>
    <row r="63">
      <c r="A63" s="5" t="inlineStr">
        <is>
          <t>Début de la première semaine (un lundi)</t>
        </is>
      </c>
      <c r="B63" s="20" t="n">
        <v>46293</v>
      </c>
    </row>
    <row r="64" ht="30" customHeight="1">
      <c r="A64" s="3" t="inlineStr">
        <is>
          <t>Semaine du</t>
        </is>
      </c>
      <c r="B64" s="3" t="inlineStr">
        <is>
          <t>Chats</t>
        </is>
      </c>
      <c r="C64" s="3" t="inlineStr">
        <is>
          <t>À temps</t>
        </is>
      </c>
      <c r="D64" s="3" t="inlineStr">
        <is>
          <t>En retard</t>
        </is>
      </c>
      <c r="E64" s="3" t="inlineStr">
        <is>
          <t>Sans réponse</t>
        </is>
      </c>
      <c r="F64" s="3" t="inlineStr">
        <is>
          <t>Taux à temps</t>
        </is>
      </c>
    </row>
    <row r="65">
      <c r="A65" s="21">
        <f>$B$63</f>
        <v/>
      </c>
      <c r="B65" s="9">
        <f>COUNTIFS('Journal des réponses'!$A$5:$A$204,"&gt;="&amp;A65,'Journal des réponses'!$A$5:$A$204,"&lt;"&amp;(A65+7))</f>
        <v/>
      </c>
      <c r="C65" s="9">
        <f>COUNTIFS('Journal des réponses'!$A$5:$A$204,"&gt;="&amp;A65,'Journal des réponses'!$A$5:$A$204,"&lt;"&amp;(A65+7),'Journal des réponses'!$L$5:$L$204,"À temps")</f>
        <v/>
      </c>
      <c r="D65" s="9">
        <f>COUNTIFS('Journal des réponses'!$A$5:$A$204,"&gt;="&amp;A65,'Journal des réponses'!$A$5:$A$204,"&lt;"&amp;(A65+7),'Journal des réponses'!$L$5:$L$204,"En retard")</f>
        <v/>
      </c>
      <c r="E65" s="9">
        <f>COUNTIFS('Journal des réponses'!$A$5:$A$204,"&gt;="&amp;A65,'Journal des réponses'!$A$5:$A$204,"&lt;"&amp;(A65+7),'Journal des réponses'!$L$5:$L$204,"Sans réponse")</f>
        <v/>
      </c>
      <c r="F65" s="19">
        <f>IFERROR(C65/(C65+D65+E65),"")</f>
        <v/>
      </c>
    </row>
    <row r="66">
      <c r="A66" s="21">
        <f>A65+7</f>
        <v/>
      </c>
      <c r="B66" s="9">
        <f>COUNTIFS('Journal des réponses'!$A$5:$A$204,"&gt;="&amp;A66,'Journal des réponses'!$A$5:$A$204,"&lt;"&amp;(A66+7))</f>
        <v/>
      </c>
      <c r="C66" s="9">
        <f>COUNTIFS('Journal des réponses'!$A$5:$A$204,"&gt;="&amp;A66,'Journal des réponses'!$A$5:$A$204,"&lt;"&amp;(A66+7),'Journal des réponses'!$L$5:$L$204,"À temps")</f>
        <v/>
      </c>
      <c r="D66" s="9">
        <f>COUNTIFS('Journal des réponses'!$A$5:$A$204,"&gt;="&amp;A66,'Journal des réponses'!$A$5:$A$204,"&lt;"&amp;(A66+7),'Journal des réponses'!$L$5:$L$204,"En retard")</f>
        <v/>
      </c>
      <c r="E66" s="9">
        <f>COUNTIFS('Journal des réponses'!$A$5:$A$204,"&gt;="&amp;A66,'Journal des réponses'!$A$5:$A$204,"&lt;"&amp;(A66+7),'Journal des réponses'!$L$5:$L$204,"Sans réponse")</f>
        <v/>
      </c>
      <c r="F66" s="19">
        <f>IFERROR(C66/(C66+D66+E66),"")</f>
        <v/>
      </c>
    </row>
    <row r="67">
      <c r="A67" s="21">
        <f>A66+7</f>
        <v/>
      </c>
      <c r="B67" s="9">
        <f>COUNTIFS('Journal des réponses'!$A$5:$A$204,"&gt;="&amp;A67,'Journal des réponses'!$A$5:$A$204,"&lt;"&amp;(A67+7))</f>
        <v/>
      </c>
      <c r="C67" s="9">
        <f>COUNTIFS('Journal des réponses'!$A$5:$A$204,"&gt;="&amp;A67,'Journal des réponses'!$A$5:$A$204,"&lt;"&amp;(A67+7),'Journal des réponses'!$L$5:$L$204,"À temps")</f>
        <v/>
      </c>
      <c r="D67" s="9">
        <f>COUNTIFS('Journal des réponses'!$A$5:$A$204,"&gt;="&amp;A67,'Journal des réponses'!$A$5:$A$204,"&lt;"&amp;(A67+7),'Journal des réponses'!$L$5:$L$204,"En retard")</f>
        <v/>
      </c>
      <c r="E67" s="9">
        <f>COUNTIFS('Journal des réponses'!$A$5:$A$204,"&gt;="&amp;A67,'Journal des réponses'!$A$5:$A$204,"&lt;"&amp;(A67+7),'Journal des réponses'!$L$5:$L$204,"Sans réponse")</f>
        <v/>
      </c>
      <c r="F67" s="19">
        <f>IFERROR(C67/(C67+D67+E67),"")</f>
        <v/>
      </c>
    </row>
    <row r="68">
      <c r="A68" s="21">
        <f>A67+7</f>
        <v/>
      </c>
      <c r="B68" s="9">
        <f>COUNTIFS('Journal des réponses'!$A$5:$A$204,"&gt;="&amp;A68,'Journal des réponses'!$A$5:$A$204,"&lt;"&amp;(A68+7))</f>
        <v/>
      </c>
      <c r="C68" s="9">
        <f>COUNTIFS('Journal des réponses'!$A$5:$A$204,"&gt;="&amp;A68,'Journal des réponses'!$A$5:$A$204,"&lt;"&amp;(A68+7),'Journal des réponses'!$L$5:$L$204,"À temps")</f>
        <v/>
      </c>
      <c r="D68" s="9">
        <f>COUNTIFS('Journal des réponses'!$A$5:$A$204,"&gt;="&amp;A68,'Journal des réponses'!$A$5:$A$204,"&lt;"&amp;(A68+7),'Journal des réponses'!$L$5:$L$204,"En retard")</f>
        <v/>
      </c>
      <c r="E68" s="9">
        <f>COUNTIFS('Journal des réponses'!$A$5:$A$204,"&gt;="&amp;A68,'Journal des réponses'!$A$5:$A$204,"&lt;"&amp;(A68+7),'Journal des réponses'!$L$5:$L$204,"Sans réponse")</f>
        <v/>
      </c>
      <c r="F68" s="19">
        <f>IFERROR(C68/(C68+D68+E68),"")</f>
        <v/>
      </c>
    </row>
    <row r="69">
      <c r="A69" s="21">
        <f>A68+7</f>
        <v/>
      </c>
      <c r="B69" s="9">
        <f>COUNTIFS('Journal des réponses'!$A$5:$A$204,"&gt;="&amp;A69,'Journal des réponses'!$A$5:$A$204,"&lt;"&amp;(A69+7))</f>
        <v/>
      </c>
      <c r="C69" s="9">
        <f>COUNTIFS('Journal des réponses'!$A$5:$A$204,"&gt;="&amp;A69,'Journal des réponses'!$A$5:$A$204,"&lt;"&amp;(A69+7),'Journal des réponses'!$L$5:$L$204,"À temps")</f>
        <v/>
      </c>
      <c r="D69" s="9">
        <f>COUNTIFS('Journal des réponses'!$A$5:$A$204,"&gt;="&amp;A69,'Journal des réponses'!$A$5:$A$204,"&lt;"&amp;(A69+7),'Journal des réponses'!$L$5:$L$204,"En retard")</f>
        <v/>
      </c>
      <c r="E69" s="9">
        <f>COUNTIFS('Journal des réponses'!$A$5:$A$204,"&gt;="&amp;A69,'Journal des réponses'!$A$5:$A$204,"&lt;"&amp;(A69+7),'Journal des réponses'!$L$5:$L$204,"Sans réponse")</f>
        <v/>
      </c>
      <c r="F69" s="19">
        <f>IFERROR(C69/(C69+D69+E69),"")</f>
        <v/>
      </c>
    </row>
    <row r="70">
      <c r="A70" s="21">
        <f>A69+7</f>
        <v/>
      </c>
      <c r="B70" s="9">
        <f>COUNTIFS('Journal des réponses'!$A$5:$A$204,"&gt;="&amp;A70,'Journal des réponses'!$A$5:$A$204,"&lt;"&amp;(A70+7))</f>
        <v/>
      </c>
      <c r="C70" s="9">
        <f>COUNTIFS('Journal des réponses'!$A$5:$A$204,"&gt;="&amp;A70,'Journal des réponses'!$A$5:$A$204,"&lt;"&amp;(A70+7),'Journal des réponses'!$L$5:$L$204,"À temps")</f>
        <v/>
      </c>
      <c r="D70" s="9">
        <f>COUNTIFS('Journal des réponses'!$A$5:$A$204,"&gt;="&amp;A70,'Journal des réponses'!$A$5:$A$204,"&lt;"&amp;(A70+7),'Journal des réponses'!$L$5:$L$204,"En retard")</f>
        <v/>
      </c>
      <c r="E70" s="9">
        <f>COUNTIFS('Journal des réponses'!$A$5:$A$204,"&gt;="&amp;A70,'Journal des réponses'!$A$5:$A$204,"&lt;"&amp;(A70+7),'Journal des réponses'!$L$5:$L$204,"Sans réponse")</f>
        <v/>
      </c>
      <c r="F70" s="19">
        <f>IFERROR(C70/(C70+D70+E70),"")</f>
        <v/>
      </c>
    </row>
    <row r="71">
      <c r="A71" s="21">
        <f>A70+7</f>
        <v/>
      </c>
      <c r="B71" s="9">
        <f>COUNTIFS('Journal des réponses'!$A$5:$A$204,"&gt;="&amp;A71,'Journal des réponses'!$A$5:$A$204,"&lt;"&amp;(A71+7))</f>
        <v/>
      </c>
      <c r="C71" s="9">
        <f>COUNTIFS('Journal des réponses'!$A$5:$A$204,"&gt;="&amp;A71,'Journal des réponses'!$A$5:$A$204,"&lt;"&amp;(A71+7),'Journal des réponses'!$L$5:$L$204,"À temps")</f>
        <v/>
      </c>
      <c r="D71" s="9">
        <f>COUNTIFS('Journal des réponses'!$A$5:$A$204,"&gt;="&amp;A71,'Journal des réponses'!$A$5:$A$204,"&lt;"&amp;(A71+7),'Journal des réponses'!$L$5:$L$204,"En retard")</f>
        <v/>
      </c>
      <c r="E71" s="9">
        <f>COUNTIFS('Journal des réponses'!$A$5:$A$204,"&gt;="&amp;A71,'Journal des réponses'!$A$5:$A$204,"&lt;"&amp;(A71+7),'Journal des réponses'!$L$5:$L$204,"Sans réponse")</f>
        <v/>
      </c>
      <c r="F71" s="19">
        <f>IFERROR(C71/(C71+D71+E71),"")</f>
        <v/>
      </c>
    </row>
    <row r="72">
      <c r="A72" s="21">
        <f>A71+7</f>
        <v/>
      </c>
      <c r="B72" s="9">
        <f>COUNTIFS('Journal des réponses'!$A$5:$A$204,"&gt;="&amp;A72,'Journal des réponses'!$A$5:$A$204,"&lt;"&amp;(A72+7))</f>
        <v/>
      </c>
      <c r="C72" s="9">
        <f>COUNTIFS('Journal des réponses'!$A$5:$A$204,"&gt;="&amp;A72,'Journal des réponses'!$A$5:$A$204,"&lt;"&amp;(A72+7),'Journal des réponses'!$L$5:$L$204,"À temps")</f>
        <v/>
      </c>
      <c r="D72" s="9">
        <f>COUNTIFS('Journal des réponses'!$A$5:$A$204,"&gt;="&amp;A72,'Journal des réponses'!$A$5:$A$204,"&lt;"&amp;(A72+7),'Journal des réponses'!$L$5:$L$204,"En retard")</f>
        <v/>
      </c>
      <c r="E72" s="9">
        <f>COUNTIFS('Journal des réponses'!$A$5:$A$204,"&gt;="&amp;A72,'Journal des réponses'!$A$5:$A$204,"&lt;"&amp;(A72+7),'Journal des réponses'!$L$5:$L$204,"Sans réponse")</f>
        <v/>
      </c>
      <c r="F72" s="19">
        <f>IFERROR(C72/(C72+D72+E72),"")</f>
        <v/>
      </c>
    </row>
    <row r="73">
      <c r="A73" s="21">
        <f>A72+7</f>
        <v/>
      </c>
      <c r="B73" s="9">
        <f>COUNTIFS('Journal des réponses'!$A$5:$A$204,"&gt;="&amp;A73,'Journal des réponses'!$A$5:$A$204,"&lt;"&amp;(A73+7))</f>
        <v/>
      </c>
      <c r="C73" s="9">
        <f>COUNTIFS('Journal des réponses'!$A$5:$A$204,"&gt;="&amp;A73,'Journal des réponses'!$A$5:$A$204,"&lt;"&amp;(A73+7),'Journal des réponses'!$L$5:$L$204,"À temps")</f>
        <v/>
      </c>
      <c r="D73" s="9">
        <f>COUNTIFS('Journal des réponses'!$A$5:$A$204,"&gt;="&amp;A73,'Journal des réponses'!$A$5:$A$204,"&lt;"&amp;(A73+7),'Journal des réponses'!$L$5:$L$204,"En retard")</f>
        <v/>
      </c>
      <c r="E73" s="9">
        <f>COUNTIFS('Journal des réponses'!$A$5:$A$204,"&gt;="&amp;A73,'Journal des réponses'!$A$5:$A$204,"&lt;"&amp;(A73+7),'Journal des réponses'!$L$5:$L$204,"Sans réponse")</f>
        <v/>
      </c>
      <c r="F73" s="19">
        <f>IFERROR(C73/(C73+D73+E73),"")</f>
        <v/>
      </c>
    </row>
    <row r="74">
      <c r="A74" s="21">
        <f>A73+7</f>
        <v/>
      </c>
      <c r="B74" s="9">
        <f>COUNTIFS('Journal des réponses'!$A$5:$A$204,"&gt;="&amp;A74,'Journal des réponses'!$A$5:$A$204,"&lt;"&amp;(A74+7))</f>
        <v/>
      </c>
      <c r="C74" s="9">
        <f>COUNTIFS('Journal des réponses'!$A$5:$A$204,"&gt;="&amp;A74,'Journal des réponses'!$A$5:$A$204,"&lt;"&amp;(A74+7),'Journal des réponses'!$L$5:$L$204,"À temps")</f>
        <v/>
      </c>
      <c r="D74" s="9">
        <f>COUNTIFS('Journal des réponses'!$A$5:$A$204,"&gt;="&amp;A74,'Journal des réponses'!$A$5:$A$204,"&lt;"&amp;(A74+7),'Journal des réponses'!$L$5:$L$204,"En retard")</f>
        <v/>
      </c>
      <c r="E74" s="9">
        <f>COUNTIFS('Journal des réponses'!$A$5:$A$204,"&gt;="&amp;A74,'Journal des réponses'!$A$5:$A$204,"&lt;"&amp;(A74+7),'Journal des réponses'!$L$5:$L$204,"Sans réponse")</f>
        <v/>
      </c>
      <c r="F74" s="19">
        <f>IFERROR(C74/(C74+D74+E74),"")</f>
        <v/>
      </c>
    </row>
    <row r="75">
      <c r="A75" s="21">
        <f>A74+7</f>
        <v/>
      </c>
      <c r="B75" s="9">
        <f>COUNTIFS('Journal des réponses'!$A$5:$A$204,"&gt;="&amp;A75,'Journal des réponses'!$A$5:$A$204,"&lt;"&amp;(A75+7))</f>
        <v/>
      </c>
      <c r="C75" s="9">
        <f>COUNTIFS('Journal des réponses'!$A$5:$A$204,"&gt;="&amp;A75,'Journal des réponses'!$A$5:$A$204,"&lt;"&amp;(A75+7),'Journal des réponses'!$L$5:$L$204,"À temps")</f>
        <v/>
      </c>
      <c r="D75" s="9">
        <f>COUNTIFS('Journal des réponses'!$A$5:$A$204,"&gt;="&amp;A75,'Journal des réponses'!$A$5:$A$204,"&lt;"&amp;(A75+7),'Journal des réponses'!$L$5:$L$204,"En retard")</f>
        <v/>
      </c>
      <c r="E75" s="9">
        <f>COUNTIFS('Journal des réponses'!$A$5:$A$204,"&gt;="&amp;A75,'Journal des réponses'!$A$5:$A$204,"&lt;"&amp;(A75+7),'Journal des réponses'!$L$5:$L$204,"Sans réponse")</f>
        <v/>
      </c>
      <c r="F75" s="19">
        <f>IFERROR(C75/(C75+D75+E75),"")</f>
        <v/>
      </c>
    </row>
    <row r="76">
      <c r="A76" s="21">
        <f>A75+7</f>
        <v/>
      </c>
      <c r="B76" s="9">
        <f>COUNTIFS('Journal des réponses'!$A$5:$A$204,"&gt;="&amp;A76,'Journal des réponses'!$A$5:$A$204,"&lt;"&amp;(A76+7))</f>
        <v/>
      </c>
      <c r="C76" s="9">
        <f>COUNTIFS('Journal des réponses'!$A$5:$A$204,"&gt;="&amp;A76,'Journal des réponses'!$A$5:$A$204,"&lt;"&amp;(A76+7),'Journal des réponses'!$L$5:$L$204,"À temps")</f>
        <v/>
      </c>
      <c r="D76" s="9">
        <f>COUNTIFS('Journal des réponses'!$A$5:$A$204,"&gt;="&amp;A76,'Journal des réponses'!$A$5:$A$204,"&lt;"&amp;(A76+7),'Journal des réponses'!$L$5:$L$204,"En retard")</f>
        <v/>
      </c>
      <c r="E76" s="9">
        <f>COUNTIFS('Journal des réponses'!$A$5:$A$204,"&gt;="&amp;A76,'Journal des réponses'!$A$5:$A$204,"&lt;"&amp;(A76+7),'Journal des réponses'!$L$5:$L$204,"Sans réponse")</f>
        <v/>
      </c>
      <c r="F76" s="19">
        <f>IFERROR(C76/(C76+D76+E76),"")</f>
        <v/>
      </c>
    </row>
    <row r="78">
      <c r="A78" s="22" t="inlineStr">
        <is>
          <t>Modèle gratuit de CRMsoftware.pro. Données d’exemple fictives.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Tableau de routage des chats</dc:title>
  <dcterms:created xmlns:dcterms="http://purl.org/dc/terms/" xmlns:xsi="http://www.w3.org/2001/XMLSchema-instance" xsi:type="dcterms:W3CDTF">2026-10-12T16:49:40Z</dcterms:created>
  <dcterms:modified xmlns:dcterms="http://purl.org/dc/terms/" xmlns:xsi="http://www.w3.org/2001/XMLSchema-instance" xsi:type="dcterms:W3CDTF">2026-10-12T16:49:40Z</dcterms:modified>
</cp:coreProperties>
</file>