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térios e pesos" sheetId="1" state="visible" r:id="rId1"/>
    <sheet xmlns:r="http://schemas.openxmlformats.org/officeDocument/2006/relationships" name="Pontuação dos leads" sheetId="2" state="visible" r:id="rId2"/>
    <sheet xmlns:r="http://schemas.openxmlformats.org/officeDocument/2006/relationships" name="Calibração" sheetId="3" state="visible" r:id="rId3"/>
  </sheets>
  <definedNames>
    <definedName name="_xlnm._FilterDatabase" localSheetId="1" hidden="1">'Pontuação dos leads'!$A$4:$AF$211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 hh:mm"/>
    <numFmt numFmtId="166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vertical="top" wrapText="1"/>
    </xf>
    <xf numFmtId="0" fontId="7" fillId="0" borderId="0" pivotButton="0" quotePrefix="0" xfId="0"/>
    <xf numFmtId="9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3" borderId="1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40" customWidth="1" min="4" max="4"/>
    <col width="34" customWidth="1" min="5" max="5"/>
    <col width="36" customWidth="1" min="6" max="6"/>
    <col width="9" customWidth="1" min="7" max="7"/>
  </cols>
  <sheetData>
    <row r="1">
      <c r="A1" s="1" t="inlineStr">
        <is>
          <t>Modelo de lead scoring: critérios e pesos</t>
        </is>
      </c>
    </row>
    <row r="2">
      <c r="A2" s="2" t="inlineStr">
        <is>
          <t>Mude as palavras, os pesos e as classes para se adequarem ao seu negócio. Os pesos têm de somar 100. Exemplo: Juniper Ledger, um gabinete de contabilidade fictício em Denver, no Colorado.</t>
        </is>
      </c>
    </row>
    <row r="4" ht="32" customHeight="1">
      <c r="A4" s="3" t="inlineStr">
        <is>
          <t>#</t>
        </is>
      </c>
      <c r="B4" s="3" t="inlineStr">
        <is>
          <t>Critério</t>
        </is>
      </c>
      <c r="C4" s="3" t="inlineStr">
        <is>
          <t>Grupo</t>
        </is>
      </c>
      <c r="D4" s="3" t="inlineStr">
        <is>
          <t>Pontos totais quando o lead diz</t>
        </is>
      </c>
      <c r="E4" s="3" t="inlineStr">
        <is>
          <t>Metade dos pontos</t>
        </is>
      </c>
      <c r="F4" s="3" t="inlineStr">
        <is>
          <t>Pergunta a fazer</t>
        </is>
      </c>
      <c r="G4" s="3" t="inlineStr">
        <is>
          <t>Peso</t>
        </is>
      </c>
    </row>
    <row r="5">
      <c r="A5" s="4" t="n">
        <v>1</v>
      </c>
      <c r="B5" s="5" t="inlineStr">
        <is>
          <t>Dimensão</t>
        </is>
      </c>
      <c r="C5" s="4" t="inlineStr">
        <is>
          <t>Adequação</t>
        </is>
      </c>
      <c r="D5" s="6" t="inlineStr">
        <is>
          <t>5 a 50 funcionários</t>
        </is>
      </c>
      <c r="E5" s="6" t="inlineStr">
        <is>
          <t>3 ou 4, ou 51 a 80 funcionários, ou «cerca de»</t>
        </is>
      </c>
      <c r="F5" s="6" t="inlineStr">
        <is>
          <t>Quantas pessoas trabalham na sua empresa?</t>
        </is>
      </c>
      <c r="G5" s="7" t="n">
        <v>12</v>
      </c>
    </row>
    <row r="6">
      <c r="A6" s="4" t="n">
        <v>2</v>
      </c>
      <c r="B6" s="5" t="inlineStr">
        <is>
          <t>Área de serviço</t>
        </is>
      </c>
      <c r="C6" s="4" t="inlineStr">
        <is>
          <t>Adequação</t>
        </is>
      </c>
      <c r="D6" s="6" t="inlineStr">
        <is>
          <t>Sediada no Colorado</t>
        </is>
      </c>
      <c r="E6" s="6" t="inlineStr">
        <is>
          <t>Vai mudar-se para o Colorado em breve</t>
        </is>
      </c>
      <c r="F6" s="6" t="inlineStr">
        <is>
          <t>Onde está sediada a sua empresa?</t>
        </is>
      </c>
      <c r="G6" s="7" t="n">
        <v>10</v>
      </c>
    </row>
    <row r="7">
      <c r="A7" s="4" t="n">
        <v>3</v>
      </c>
      <c r="B7" s="5" t="inlineStr">
        <is>
          <t>Serviço pretendido</t>
        </is>
      </c>
      <c r="C7" s="4" t="inlineStr">
        <is>
          <t>Adequação</t>
        </is>
      </c>
      <c r="D7" s="6" t="inlineStr">
        <is>
          <t>Precisa de contabilidade mensal ou processamento salarial</t>
        </is>
      </c>
      <c r="E7" s="6" t="inlineStr">
        <is>
          <t>Precisa disso e de trabalho que não fazemos</t>
        </is>
      </c>
      <c r="F7" s="6" t="inlineStr">
        <is>
          <t>Em que gostaria de ter ajuda?</t>
        </is>
      </c>
      <c r="G7" s="7" t="n">
        <v>12</v>
      </c>
    </row>
    <row r="8">
      <c r="A8" s="4" t="n">
        <v>4</v>
      </c>
      <c r="B8" s="5" t="inlineStr">
        <is>
          <t>Sistemas</t>
        </is>
      </c>
      <c r="C8" s="4" t="inlineStr">
        <is>
          <t>Adequação</t>
        </is>
      </c>
      <c r="D8" s="6" t="inlineStr">
        <is>
          <t>QuickBooks Online ou Xero</t>
        </is>
      </c>
      <c r="E8" s="6" t="inlineStr">
        <is>
          <t>Não sabe qual é o software</t>
        </is>
      </c>
      <c r="F8" s="6" t="inlineStr">
        <is>
          <t>Em que software está a sua contabilidade?</t>
        </is>
      </c>
      <c r="G8" s="7" t="n">
        <v>6</v>
      </c>
    </row>
    <row r="9">
      <c r="A9" s="4" t="n">
        <v>5</v>
      </c>
      <c r="B9" s="5" t="inlineStr">
        <is>
          <t>Necessidade</t>
        </is>
      </c>
      <c r="C9" s="4" t="inlineStr">
        <is>
          <t>Intenção</t>
        </is>
      </c>
      <c r="D9" s="6" t="inlineStr">
        <is>
          <t>Um problema concreto, nas suas próprias palavras</t>
        </is>
      </c>
      <c r="E9" s="6" t="inlineStr">
        <is>
          <t>«Estamos a ver opções»</t>
        </is>
      </c>
      <c r="F9" s="6" t="inlineStr">
        <is>
          <t>O que o levou a procurar ajuda agora?</t>
        </is>
      </c>
      <c r="G9" s="7" t="n">
        <v>16</v>
      </c>
    </row>
    <row r="10">
      <c r="A10" s="4" t="n">
        <v>6</v>
      </c>
      <c r="B10" s="5" t="inlineStr">
        <is>
          <t>Prazo</t>
        </is>
      </c>
      <c r="C10" s="4" t="inlineStr">
        <is>
          <t>Intenção</t>
        </is>
      </c>
      <c r="D10" s="6" t="inlineStr">
        <is>
          <t>Uma data de início ou data-limite dentro de 60 dias</t>
        </is>
      </c>
      <c r="E10" s="6" t="inlineStr">
        <is>
          <t>Dentro de 6 meses, ou «em breve»</t>
        </is>
      </c>
      <c r="F10" s="6" t="inlineStr">
        <is>
          <t>Há alguma data até à qual precise disto?</t>
        </is>
      </c>
      <c r="G10" s="7" t="n">
        <v>16</v>
      </c>
    </row>
    <row r="11">
      <c r="A11" s="4" t="n">
        <v>7</v>
      </c>
      <c r="B11" s="5" t="inlineStr">
        <is>
          <t>Prova de orçamento</t>
        </is>
      </c>
      <c r="C11" s="4" t="inlineStr">
        <is>
          <t>Intenção</t>
        </is>
      </c>
      <c r="D11" s="6" t="inlineStr">
        <is>
          <t>Um orçamento ou gasto atual de 450 $ por mês ou mais</t>
        </is>
      </c>
      <c r="E11" s="6" t="inlineStr">
        <is>
          <t>Cobre parte do trabalho, ou «depende do preço»</t>
        </is>
      </c>
      <c r="F11" s="6" t="inlineStr">
        <is>
          <t>Quanto paga hoje pela contabilidade?</t>
        </is>
      </c>
      <c r="G11" s="7" t="n">
        <v>12</v>
      </c>
    </row>
    <row r="12">
      <c r="A12" s="4" t="n">
        <v>8</v>
      </c>
      <c r="B12" s="5" t="inlineStr">
        <is>
          <t>Autoridade</t>
        </is>
      </c>
      <c r="C12" s="4" t="inlineStr">
        <is>
          <t>Intenção</t>
        </is>
      </c>
      <c r="D12" s="6" t="inlineStr">
        <is>
          <t>Decide, ou o decisor junta-se à chamada</t>
        </is>
      </c>
      <c r="E12" s="6" t="inlineStr">
        <is>
          <t>Diz quem decide, mas essa pessoa ainda não está envolvida</t>
        </is>
      </c>
      <c r="F12" s="6" t="inlineStr">
        <is>
          <t>Quem vai decidir a escolha do novo contabilista?</t>
        </is>
      </c>
      <c r="G12" s="7" t="n">
        <v>10</v>
      </c>
    </row>
    <row r="13">
      <c r="A13" s="4" t="n">
        <v>9</v>
      </c>
      <c r="B13" s="5" t="inlineStr">
        <is>
          <t>Próximo passo</t>
        </is>
      </c>
      <c r="C13" s="4" t="inlineStr">
        <is>
          <t>Intenção</t>
        </is>
      </c>
      <c r="D13" s="6" t="inlineStr">
        <is>
          <t>Pede uma chamada, um preço ou uma proposta</t>
        </is>
      </c>
      <c r="E13" s="6" t="inlineStr">
        <is>
          <t>Aceita uma chamada quando lha propomos</t>
        </is>
      </c>
      <c r="F13" s="6" t="inlineStr">
        <is>
          <t>Marcamos uma chamada de 20 minutos?</t>
        </is>
      </c>
      <c r="G13" s="7" t="n">
        <v>6</v>
      </c>
    </row>
    <row r="14">
      <c r="B14" s="5" t="inlineStr">
        <is>
          <t>Peso total</t>
        </is>
      </c>
      <c r="D14" s="8">
        <f>IF(G14=100,"O total é 100","Ajuste o total para 100")</f>
        <v/>
      </c>
      <c r="G14" s="9">
        <f>SUM(G5:G13)</f>
        <v/>
      </c>
    </row>
    <row r="16" ht="28" customHeight="1">
      <c r="A16" s="3" t="inlineStr">
        <is>
          <t>#</t>
        </is>
      </c>
      <c r="B16" s="3" t="inlineStr">
        <is>
          <t>Sinal negativo</t>
        </is>
      </c>
      <c r="C16" s="3" t="inlineStr">
        <is>
          <t>Pontos</t>
        </is>
      </c>
      <c r="D16" s="3" t="inlineStr">
        <is>
          <t>Exemplo nas palavras do lead</t>
        </is>
      </c>
    </row>
    <row r="17">
      <c r="A17" s="4" t="n">
        <v>1</v>
      </c>
      <c r="B17" s="5" t="inlineStr">
        <is>
          <t>Só compara preços</t>
        </is>
      </c>
      <c r="C17" s="4" t="n">
        <v>-10</v>
      </c>
      <c r="D17" s="6" t="inlineStr">
        <is>
          <t>«Mande-me só o vosso preço mais barato.»</t>
        </is>
      </c>
    </row>
    <row r="18">
      <c r="A18" s="4" t="n">
        <v>2</v>
      </c>
      <c r="B18" s="5" t="inlineStr">
        <is>
          <t>Início daqui a mais de 6 meses</t>
        </is>
      </c>
      <c r="C18" s="4" t="n">
        <v>-10</v>
      </c>
      <c r="D18" s="6" t="inlineStr">
        <is>
          <t>«Talvez depois da próxima época de impostos.»</t>
        </is>
      </c>
    </row>
    <row r="19">
      <c r="A19" s="4" t="n">
        <v>3</v>
      </c>
      <c r="B19" s="5" t="inlineStr">
        <is>
          <t>Orçamento abaixo de 450 $ por mês</t>
        </is>
      </c>
      <c r="C19" s="4" t="n">
        <v>-15</v>
      </c>
      <c r="D19" s="6" t="inlineStr">
        <is>
          <t>«Podemos gastar 300 $ por mês, no máximo.»</t>
        </is>
      </c>
    </row>
    <row r="20">
      <c r="A20" s="4" t="n">
        <v>4</v>
      </c>
      <c r="B20" s="5" t="inlineStr">
        <is>
          <t>Condições que não oferecemos</t>
        </is>
      </c>
      <c r="C20" s="4" t="n">
        <v>-10</v>
      </c>
      <c r="D20" s="6" t="inlineStr">
        <is>
          <t>«Podem dar-me um preço fixo antes de verem as contas?»</t>
        </is>
      </c>
    </row>
    <row r="22" ht="28" customHeight="1">
      <c r="A22" s="3" t="inlineStr">
        <is>
          <t>#</t>
        </is>
      </c>
      <c r="B22" s="3" t="inlineStr">
        <is>
          <t>Critério eliminatório</t>
        </is>
      </c>
      <c r="C22" s="3" t="inlineStr">
        <is>
          <t>O que fazer</t>
        </is>
      </c>
    </row>
    <row r="23">
      <c r="A23" s="4" t="n">
        <v>1</v>
      </c>
      <c r="B23" s="5" t="inlineStr">
        <is>
          <t>Não é comprador: candidato a emprego, fornecedor, concorrente, spam</t>
        </is>
      </c>
      <c r="C23" s="6" t="n"/>
      <c r="D23" s="6" t="inlineStr">
        <is>
          <t>Resposta curta, ou nenhuma se for spam. Status Lixo.</t>
        </is>
      </c>
    </row>
    <row r="24">
      <c r="A24" s="4" t="n">
        <v>2</v>
      </c>
      <c r="B24" s="5" t="inlineStr">
        <is>
          <t>Só declarações de impostos pessoais</t>
        </is>
      </c>
      <c r="C24" s="6" t="n"/>
      <c r="D24" s="6" t="inlineStr">
        <is>
          <t>Saída cordial, indique um profissional de declarações de impostos.</t>
        </is>
      </c>
    </row>
    <row r="25">
      <c r="A25" s="4" t="n">
        <v>3</v>
      </c>
      <c r="B25" s="5" t="inlineStr">
        <is>
          <t>Empresa fora do Colorado</t>
        </is>
      </c>
      <c r="C25" s="6" t="n"/>
      <c r="D25" s="6" t="inlineStr">
        <is>
          <t>Saída cordial, com o motivo.</t>
        </is>
      </c>
    </row>
    <row r="26">
      <c r="A26" s="4" t="n">
        <v>4</v>
      </c>
      <c r="B26" s="5" t="inlineStr">
        <is>
          <t>Orçamento abaixo de 225 $ por mês</t>
        </is>
      </c>
      <c r="C26" s="6" t="n"/>
      <c r="D26" s="6" t="inlineStr">
        <is>
          <t>Saída cordial, envie a lista de verificação para fazer sozinho.</t>
        </is>
      </c>
    </row>
    <row r="28" ht="32" customHeight="1">
      <c r="A28" s="3" t="inlineStr">
        <is>
          <t>Classe</t>
        </is>
      </c>
      <c r="B28" s="3" t="inlineStr">
        <is>
          <t>Ação</t>
        </is>
      </c>
      <c r="C28" s="3" t="inlineStr">
        <is>
          <t>Pontuação mínima</t>
        </is>
      </c>
      <c r="D28" s="3" t="inlineStr">
        <is>
          <t>Responsável</t>
        </is>
      </c>
      <c r="E28" s="3" t="inlineStr">
        <is>
          <t>Responder em (horas úteis)</t>
        </is>
      </c>
      <c r="F28" s="3" t="inlineStr">
        <is>
          <t>Status em Leads</t>
        </is>
      </c>
    </row>
    <row r="29">
      <c r="A29" s="7" t="inlineStr">
        <is>
          <t>A</t>
        </is>
      </c>
      <c r="B29" s="6" t="inlineStr">
        <is>
          <t>Ligar, ou responder com duas opções de horário</t>
        </is>
      </c>
      <c r="C29" s="4" t="n">
        <v>70</v>
      </c>
      <c r="D29" s="5" t="inlineStr">
        <is>
          <t>Rosa</t>
        </is>
      </c>
      <c r="E29" s="4" t="n">
        <v>1</v>
      </c>
      <c r="F29" s="6" t="inlineStr">
        <is>
          <t>Qualificado</t>
        </is>
      </c>
    </row>
    <row r="30">
      <c r="A30" s="7" t="inlineStr">
        <is>
          <t>B</t>
        </is>
      </c>
      <c r="B30" s="6" t="inlineStr">
        <is>
          <t>Fazer as perguntas em aberto, propor um próximo passo</t>
        </is>
      </c>
      <c r="C30" s="4" t="n">
        <v>45</v>
      </c>
      <c r="D30" s="5" t="inlineStr">
        <is>
          <t>Ben</t>
        </is>
      </c>
      <c r="E30" s="4" t="n">
        <v>4</v>
      </c>
      <c r="F30" s="6" t="inlineStr">
        <is>
          <t>Em andamento</t>
        </is>
      </c>
    </row>
    <row r="31">
      <c r="A31" s="7" t="inlineStr">
        <is>
          <t>C</t>
        </is>
      </c>
      <c r="B31" s="6" t="inlineStr">
        <is>
          <t>Enviar um recurso útil, voltar a contactar ao fim de 30 dias</t>
        </is>
      </c>
      <c r="C31" s="4" t="n">
        <v>0</v>
      </c>
      <c r="D31" s="5" t="inlineStr">
        <is>
          <t>Ben</t>
        </is>
      </c>
      <c r="E31" s="4" t="n">
        <v>8</v>
      </c>
      <c r="F31" s="6" t="inlineStr">
        <is>
          <t>Em andamento</t>
        </is>
      </c>
    </row>
    <row r="32">
      <c r="A32" s="7" t="inlineStr">
        <is>
          <t>X</t>
        </is>
      </c>
      <c r="B32" s="6" t="inlineStr">
        <is>
          <t>Saída cordial com o motivo</t>
        </is>
      </c>
      <c r="C32" s="4" t="inlineStr">
        <is>
          <t>Qualquer critério eliminatório</t>
        </is>
      </c>
      <c r="D32" s="5" t="inlineStr">
        <is>
          <t>Ben</t>
        </is>
      </c>
      <c r="E32" s="4" t="n">
        <v>16</v>
      </c>
      <c r="F32" s="6" t="inlineStr">
        <is>
          <t>Lixo</t>
        </is>
      </c>
    </row>
    <row r="33">
      <c r="A33" s="2" t="inlineStr">
        <is>
          <t>As horas úteis vão da Abertura ao Fecho, de segunda a sexta-feira: 8 horas = 1 dia útil. Um lead que chega fora do horário ou ao fim de semana começa a contagem na abertura seguinte. Os feriados não contam.</t>
        </is>
      </c>
    </row>
    <row r="35" ht="24" customHeight="1">
      <c r="A35" s="3" t="inlineStr">
        <is>
          <t>Definição</t>
        </is>
      </c>
      <c r="B35" s="3" t="inlineStr">
        <is>
          <t>Valor</t>
        </is>
      </c>
    </row>
    <row r="36">
      <c r="B36" s="6" t="inlineStr">
        <is>
          <t>Abertura</t>
        </is>
      </c>
      <c r="C36" s="10" t="n">
        <v>0.375</v>
      </c>
    </row>
    <row r="37">
      <c r="B37" s="6" t="inlineStr">
        <is>
          <t>Fecho</t>
        </is>
      </c>
      <c r="C37" s="10" t="n">
        <v>0.7083333333333334</v>
      </c>
    </row>
    <row r="38">
      <c r="B38" s="6" t="inlineStr">
        <is>
          <t>Perda: pontos perdidos por cada 7 dias sem resposta do lead</t>
        </is>
      </c>
      <c r="C38" s="7" t="n">
        <v>5</v>
      </c>
    </row>
    <row r="39">
      <c r="B39" s="6" t="inlineStr">
        <is>
          <t>Leads fechados necessários antes de mudar os pesos</t>
        </is>
      </c>
      <c r="C39" s="7" t="n">
        <v>20</v>
      </c>
    </row>
    <row r="40">
      <c r="B40" s="6" t="inlineStr">
        <is>
          <t>Subir um peso se a diferença for de pelo menos</t>
        </is>
      </c>
      <c r="C40" s="11" t="n">
        <v>0.3</v>
      </c>
    </row>
    <row r="41">
      <c r="B41" s="6" t="inlineStr">
        <is>
          <t>Baixar um peso se a diferença for inferior a</t>
        </is>
      </c>
      <c r="C41" s="11" t="n">
        <v>0.1</v>
      </c>
    </row>
  </sheetData>
  <conditionalFormatting sqref="D14">
    <cfRule type="expression" priority="1" dxfId="0">
      <formula>$D14="O total é 100"</formula>
    </cfRule>
    <cfRule type="expression" priority="2" dxfId="1">
      <formula>$D14="Ajuste o total para 100"</formula>
    </cfRule>
  </conditionalFormatting>
  <conditionalFormatting sqref="A29:A32">
    <cfRule type="expression" priority="3" dxfId="0">
      <formula>$A29="A"</formula>
    </cfRule>
    <cfRule type="expression" priority="4" dxfId="2">
      <formula>$A29="B"</formula>
    </cfRule>
    <cfRule type="expression" priority="5" dxfId="3">
      <formula>$A29="C"</formula>
    </cfRule>
    <cfRule type="expression" priority="6" dxfId="1">
      <formula>$A29="X"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21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22" customWidth="1" min="14" max="14"/>
    <col width="24" customWidth="1" min="15" max="15"/>
    <col width="7" customWidth="1" min="16" max="16"/>
    <col width="7" customWidth="1" min="17" max="17"/>
    <col width="9" customWidth="1" min="18" max="18"/>
    <col width="8" customWidth="1" min="19" max="19"/>
    <col width="8" customWidth="1" min="20" max="20"/>
    <col width="9" customWidth="1" min="21" max="21"/>
    <col width="12" customWidth="1" min="22" max="22"/>
    <col width="16" customWidth="1" min="23" max="23"/>
    <col width="16" customWidth="1" min="24" max="24"/>
    <col width="10" customWidth="1" min="25" max="25"/>
    <col width="13" customWidth="1" min="26" max="26"/>
    <col width="8" customWidth="1" min="27" max="27"/>
    <col width="9" customWidth="1" min="28" max="28"/>
    <col width="9" customWidth="1" min="29" max="29"/>
    <col width="10" customWidth="1" min="30" max="30"/>
    <col width="11" customWidth="1" min="31" max="31"/>
    <col width="44" customWidth="1" min="32" max="32"/>
    <col hidden="1" width="13" customWidth="1" min="34" max="34"/>
    <col hidden="1" width="13" customWidth="1" min="35" max="35"/>
    <col hidden="1" width="13" customWidth="1" min="36" max="36"/>
    <col hidden="1" width="13" customWidth="1" min="38" max="38"/>
    <col hidden="1" width="13" customWidth="1" min="39" max="39"/>
    <col hidden="1" width="13" customWidth="1" min="40" max="40"/>
  </cols>
  <sheetData>
    <row r="1">
      <c r="A1" s="1" t="inlineStr">
        <is>
          <t>Pontuação dos leads</t>
        </is>
      </c>
    </row>
    <row r="2">
      <c r="A2" s="2" t="inlineStr">
        <is>
          <t>Uma linha por lead. Em cada critério, escolha Claro, Em parte ou Não disse, a partir do que o lead disse realmente. A pontuação, a classe, o responsável, o status, a hora limite de resposta e a perda preenchem-se sozinhos. Exemplo: Juniper Ledger, de 1 de setembro a 6 de outubro de 2026.</t>
        </is>
      </c>
    </row>
    <row r="3">
      <c r="E3" s="12" t="inlineStr">
        <is>
          <t>Pontos de adequação</t>
        </is>
      </c>
      <c r="I3" s="12" t="inlineStr">
        <is>
          <t>Pontos de intenção</t>
        </is>
      </c>
    </row>
    <row r="4" ht="44" customHeight="1">
      <c r="A4" s="3" t="inlineStr">
        <is>
          <t>Recebido</t>
        </is>
      </c>
      <c r="B4" s="3" t="inlineStr">
        <is>
          <t>Lead</t>
        </is>
      </c>
      <c r="C4" s="3" t="inlineStr">
        <is>
          <t>Empresa</t>
        </is>
      </c>
      <c r="D4" s="3" t="inlineStr">
        <is>
          <t>Origem</t>
        </is>
      </c>
      <c r="E4" s="3" t="inlineStr">
        <is>
          <t>Dimensão</t>
        </is>
      </c>
      <c r="F4" s="3" t="inlineStr">
        <is>
          <t>Área de serviço</t>
        </is>
      </c>
      <c r="G4" s="3" t="inlineStr">
        <is>
          <t>Serviço pretendido</t>
        </is>
      </c>
      <c r="H4" s="3" t="inlineStr">
        <is>
          <t>Sistemas</t>
        </is>
      </c>
      <c r="I4" s="3" t="inlineStr">
        <is>
          <t>Necessidade</t>
        </is>
      </c>
      <c r="J4" s="3" t="inlineStr">
        <is>
          <t>Prazo</t>
        </is>
      </c>
      <c r="K4" s="3" t="inlineStr">
        <is>
          <t>Prova de orçamento</t>
        </is>
      </c>
      <c r="L4" s="3" t="inlineStr">
        <is>
          <t>Autoridade</t>
        </is>
      </c>
      <c r="M4" s="3" t="inlineStr">
        <is>
          <t>Próximo passo</t>
        </is>
      </c>
      <c r="N4" s="3" t="inlineStr">
        <is>
          <t>Sinal negativo</t>
        </is>
      </c>
      <c r="O4" s="3" t="inlineStr">
        <is>
          <t>Critério eliminatório</t>
        </is>
      </c>
      <c r="P4" s="3" t="inlineStr">
        <is>
          <t>Adequação</t>
        </is>
      </c>
      <c r="Q4" s="3" t="inlineStr">
        <is>
          <t>Intenção</t>
        </is>
      </c>
      <c r="R4" s="3" t="inlineStr">
        <is>
          <t>Negativos</t>
        </is>
      </c>
      <c r="S4" s="3" t="inlineStr">
        <is>
          <t>Pontuação</t>
        </is>
      </c>
      <c r="T4" s="3" t="inlineStr">
        <is>
          <t>Classe</t>
        </is>
      </c>
      <c r="U4" s="3" t="inlineStr">
        <is>
          <t>Responsável</t>
        </is>
      </c>
      <c r="V4" s="3" t="inlineStr">
        <is>
          <t>Status em Leads</t>
        </is>
      </c>
      <c r="W4" s="3" t="inlineStr">
        <is>
          <t>Responder até</t>
        </is>
      </c>
      <c r="X4" s="3" t="inlineStr">
        <is>
          <t>Primeira resposta</t>
        </is>
      </c>
      <c r="Y4" s="3" t="inlineStr">
        <is>
          <t>No prazo</t>
        </is>
      </c>
      <c r="Z4" s="3" t="inlineStr">
        <is>
          <t>Última resposta do lead</t>
        </is>
      </c>
      <c r="AA4" s="3" t="inlineStr">
        <is>
          <t>Perda</t>
        </is>
      </c>
      <c r="AB4" s="3" t="inlineStr">
        <is>
          <t>Pontuação atual</t>
        </is>
      </c>
      <c r="AC4" s="3" t="inlineStr">
        <is>
          <t>Classe atual</t>
        </is>
      </c>
      <c r="AD4" s="3" t="inlineStr">
        <is>
          <t>Resultado</t>
        </is>
      </c>
      <c r="AE4" s="3" t="inlineStr">
        <is>
          <t>Valor do negócio ($ por ano)</t>
        </is>
      </c>
      <c r="AF4" s="3" t="inlineStr">
        <is>
          <t>Perguntas em aberto e notas</t>
        </is>
      </c>
    </row>
    <row r="5">
      <c r="A5" s="13" t="n">
        <v>46266.40277777778</v>
      </c>
      <c r="B5" s="6" t="inlineStr">
        <is>
          <t>Hana O.</t>
        </is>
      </c>
      <c r="C5" s="6" t="inlineStr">
        <is>
          <t>Pinyon Dental Lab</t>
        </is>
      </c>
      <c r="D5" s="4" t="inlineStr">
        <is>
          <t>Chat do site</t>
        </is>
      </c>
      <c r="E5" s="4" t="inlineStr">
        <is>
          <t>Claro</t>
        </is>
      </c>
      <c r="F5" s="4" t="inlineStr">
        <is>
          <t>Claro</t>
        </is>
      </c>
      <c r="G5" s="4" t="inlineStr">
        <is>
          <t>Claro</t>
        </is>
      </c>
      <c r="H5" s="4" t="inlineStr">
        <is>
          <t>Claro</t>
        </is>
      </c>
      <c r="I5" s="4" t="inlineStr">
        <is>
          <t>Claro</t>
        </is>
      </c>
      <c r="J5" s="4" t="inlineStr">
        <is>
          <t>Claro</t>
        </is>
      </c>
      <c r="K5" s="4" t="inlineStr">
        <is>
          <t>Claro</t>
        </is>
      </c>
      <c r="L5" s="4" t="inlineStr">
        <is>
          <t>Em parte</t>
        </is>
      </c>
      <c r="M5" s="4" t="inlineStr">
        <is>
          <t>Claro</t>
        </is>
      </c>
      <c r="N5" s="6" t="n"/>
      <c r="O5" s="6" t="n"/>
      <c r="P5" s="14">
        <f>IF($B5="","",(E5="Claro")*'Critérios e pesos'!$G$5+(E5="Em parte")*'Critérios e pesos'!$G$5/2+(F5="Claro")*'Critérios e pesos'!$G$6+(F5="Em parte")*'Critérios e pesos'!$G$6/2+(G5="Claro")*'Critérios e pesos'!$G$7+(G5="Em parte")*'Critérios e pesos'!$G$7/2+(H5="Claro")*'Critérios e pesos'!$G$8+(H5="Em parte")*'Critérios e pesos'!$G$8/2)</f>
        <v/>
      </c>
      <c r="Q5" s="14">
        <f>IF($B5="","",(I5="Claro")*'Critérios e pesos'!$G$9+(I5="Em parte")*'Critérios e pesos'!$G$9/2+(J5="Claro")*'Critérios e pesos'!$G$10+(J5="Em parte")*'Critérios e pesos'!$G$10/2+(K5="Claro")*'Critérios e pesos'!$G$11+(K5="Em parte")*'Critérios e pesos'!$G$11/2+(L5="Claro")*'Critérios e pesos'!$G$12+(L5="Em parte")*'Critérios e pesos'!$G$12/2+(M5="Claro")*'Critérios e pesos'!$G$13+(M5="Em parte")*'Critérios e pesos'!$G$13/2)</f>
        <v/>
      </c>
      <c r="R5" s="14">
        <f>IF($B5="","",IFERROR(VLOOKUP(N5,'Critérios e pesos'!$B$17:$C$20,2,FALSE),0))</f>
        <v/>
      </c>
      <c r="S5" s="9">
        <f>IF($B5="","",MAX(0,P5+Q5+R5))</f>
        <v/>
      </c>
      <c r="T5" s="9">
        <f>IF($B5="","",IF(O5&lt;&gt;"","X",IF(S5&gt;='Critérios e pesos'!$C$29,"A",IF(S5&gt;='Critérios e pesos'!$C$30,"B","C"))))</f>
        <v/>
      </c>
      <c r="U5" s="14">
        <f>IF(T5="","",INDEX('Critérios e pesos'!$D$29:$D$32,MATCH(T5,'Critérios e pesos'!$A$29:$A$32,0)))</f>
        <v/>
      </c>
      <c r="V5" s="14">
        <f>IF(T5="","",INDEX('Critérios e pesos'!$F$29:$F$32,MATCH(T5,'Critérios e pesos'!$A$29:$A$32,0)))</f>
        <v/>
      </c>
      <c r="W5" s="15">
        <f>IF(OR(AH5="",AJ5=""),"",IF(AI5+AJ5*60&lt;=ROUND('Critérios e pesos'!$C$37*1440,0),INT(AH5)+(AI5+AJ5*60)/1440,WORKDAY(INT(AH5),1+INT((AI5+AJ5*60-ROUND('Critérios e pesos'!$C$37*1440,0)-1)/(ROUND('Critérios e pesos'!$C$37*1440,0)-ROUND('Critérios e pesos'!$C$36*1440,0))))+(ROUND('Critérios e pesos'!$C$36*1440,0)+AI5+AJ5*60-ROUND('Critérios e pesos'!$C$37*1440,0)-INT((AI5+AJ5*60-ROUND('Critérios e pesos'!$C$37*1440,0)-1)/(ROUND('Critérios e pesos'!$C$37*1440,0)-ROUND('Critérios e pesos'!$C$36*1440,0)))*(ROUND('Critérios e pesos'!$C$37*1440,0)-ROUND('Critérios e pesos'!$C$36*1440,0)))/1440))</f>
        <v/>
      </c>
      <c r="X5" s="16" t="n">
        <v>46266.41527777778</v>
      </c>
      <c r="Y5" s="14">
        <f>IF(W5="","",IF(X5="",IF(NOW()&gt;W5,"Atrasado","Em espera"),IF(X5&lt;=W5,"No prazo","Atrasado")))</f>
        <v/>
      </c>
      <c r="Z5" s="17" t="n"/>
      <c r="AA5" s="14">
        <f>IF($B5="","",IF(OR(T5="X",AD5&lt;&gt;""),0,MAX(0,MIN(Q5,'Critérios e pesos'!$C$38*INT((TODAY()-IF(Z5&lt;&gt;"",Z5,INT($A5)))/7)))))</f>
        <v/>
      </c>
      <c r="AB5" s="14">
        <f>IF($B5="","",MAX(0,S5-AA5))</f>
        <v/>
      </c>
      <c r="AC5" s="9">
        <f>IF($B5="","",IF(T5="X","X",IF(AB5&gt;='Critérios e pesos'!$C$29,"A",IF(AB5&gt;='Critérios e pesos'!$C$30,"B","C"))))</f>
        <v/>
      </c>
      <c r="AD5" s="4" t="inlineStr">
        <is>
          <t>Ganho</t>
        </is>
      </c>
      <c r="AE5" s="18" t="n">
        <v>7200</v>
      </c>
      <c r="AF5" s="6" t="n"/>
      <c r="AH5">
        <f>IF($A5="","",IF(OR(WEEKDAY($A5,2)&gt;5,ROUND(MOD($A5,1)*1440,0)&gt;=ROUND('Critérios e pesos'!$C$37*1440,0)),WORKDAY(INT($A5),1)+ROUND('Critérios e pesos'!$C$36*1440,0)/1440,IF(ROUND(MOD($A5,1)*1440,0)&lt;ROUND('Critérios e pesos'!$C$36*1440,0),INT($A5)+ROUND('Critérios e pesos'!$C$36*1440,0)/1440,$A5)))</f>
        <v/>
      </c>
      <c r="AI5">
        <f>IF(AH5="","",ROUND(MOD(AH5,1)*1440,0))</f>
        <v/>
      </c>
      <c r="AJ5">
        <f>IF(T5="","",INDEX('Critérios e pesos'!$E$29:$E$32,MATCH(T5,'Critérios e pesos'!$A$29:$A$32,0)))</f>
        <v/>
      </c>
      <c r="AL5" s="19" t="inlineStr">
        <is>
          <t>Claro</t>
        </is>
      </c>
      <c r="AM5" s="19" t="inlineStr">
        <is>
          <t>Chat do site</t>
        </is>
      </c>
      <c r="AN5" s="19" t="inlineStr">
        <is>
          <t>Ganho</t>
        </is>
      </c>
    </row>
    <row r="6">
      <c r="A6" s="13" t="n">
        <v>46266.76388888889</v>
      </c>
      <c r="B6" s="6" t="inlineStr">
        <is>
          <t>Luis O.</t>
        </is>
      </c>
      <c r="C6" s="6" t="inlineStr">
        <is>
          <t>Ortega Tile &amp; Stone</t>
        </is>
      </c>
      <c r="D6" s="4" t="inlineStr">
        <is>
          <t>Formulário web</t>
        </is>
      </c>
      <c r="E6" s="4" t="inlineStr">
        <is>
          <t>Claro</t>
        </is>
      </c>
      <c r="F6" s="4" t="inlineStr">
        <is>
          <t>Claro</t>
        </is>
      </c>
      <c r="G6" s="4" t="inlineStr">
        <is>
          <t>Em parte</t>
        </is>
      </c>
      <c r="H6" s="4" t="inlineStr">
        <is>
          <t>Em parte</t>
        </is>
      </c>
      <c r="I6" s="4" t="inlineStr">
        <is>
          <t>Claro</t>
        </is>
      </c>
      <c r="J6" s="4" t="inlineStr">
        <is>
          <t>Não disse</t>
        </is>
      </c>
      <c r="K6" s="4" t="inlineStr">
        <is>
          <t>Em parte</t>
        </is>
      </c>
      <c r="L6" s="4" t="inlineStr">
        <is>
          <t>Em parte</t>
        </is>
      </c>
      <c r="M6" s="4" t="inlineStr">
        <is>
          <t>Não disse</t>
        </is>
      </c>
      <c r="N6" s="6" t="n"/>
      <c r="O6" s="6" t="n"/>
      <c r="P6" s="14">
        <f>IF($B6="","",(E6="Claro")*'Critérios e pesos'!$G$5+(E6="Em parte")*'Critérios e pesos'!$G$5/2+(F6="Claro")*'Critérios e pesos'!$G$6+(F6="Em parte")*'Critérios e pesos'!$G$6/2+(G6="Claro")*'Critérios e pesos'!$G$7+(G6="Em parte")*'Critérios e pesos'!$G$7/2+(H6="Claro")*'Critérios e pesos'!$G$8+(H6="Em parte")*'Critérios e pesos'!$G$8/2)</f>
        <v/>
      </c>
      <c r="Q6" s="14">
        <f>IF($B6="","",(I6="Claro")*'Critérios e pesos'!$G$9+(I6="Em parte")*'Critérios e pesos'!$G$9/2+(J6="Claro")*'Critérios e pesos'!$G$10+(J6="Em parte")*'Critérios e pesos'!$G$10/2+(K6="Claro")*'Critérios e pesos'!$G$11+(K6="Em parte")*'Critérios e pesos'!$G$11/2+(L6="Claro")*'Critérios e pesos'!$G$12+(L6="Em parte")*'Critérios e pesos'!$G$12/2+(M6="Claro")*'Critérios e pesos'!$G$13+(M6="Em parte")*'Critérios e pesos'!$G$13/2)</f>
        <v/>
      </c>
      <c r="R6" s="14">
        <f>IF($B6="","",IFERROR(VLOOKUP(N6,'Critérios e pesos'!$B$17:$C$20,2,FALSE),0))</f>
        <v/>
      </c>
      <c r="S6" s="9">
        <f>IF($B6="","",MAX(0,P6+Q6+R6))</f>
        <v/>
      </c>
      <c r="T6" s="9">
        <f>IF($B6="","",IF(O6&lt;&gt;"","X",IF(S6&gt;='Critérios e pesos'!$C$29,"A",IF(S6&gt;='Critérios e pesos'!$C$30,"B","C"))))</f>
        <v/>
      </c>
      <c r="U6" s="14">
        <f>IF(T6="","",INDEX('Critérios e pesos'!$D$29:$D$32,MATCH(T6,'Critérios e pesos'!$A$29:$A$32,0)))</f>
        <v/>
      </c>
      <c r="V6" s="14">
        <f>IF(T6="","",INDEX('Critérios e pesos'!$F$29:$F$32,MATCH(T6,'Critérios e pesos'!$A$29:$A$32,0)))</f>
        <v/>
      </c>
      <c r="W6" s="15">
        <f>IF(OR(AH6="",AJ6=""),"",IF(AI6+AJ6*60&lt;=ROUND('Critérios e pesos'!$C$37*1440,0),INT(AH6)+(AI6+AJ6*60)/1440,WORKDAY(INT(AH6),1+INT((AI6+AJ6*60-ROUND('Critérios e pesos'!$C$37*1440,0)-1)/(ROUND('Critérios e pesos'!$C$37*1440,0)-ROUND('Critérios e pesos'!$C$36*1440,0))))+(ROUND('Critérios e pesos'!$C$36*1440,0)+AI6+AJ6*60-ROUND('Critérios e pesos'!$C$37*1440,0)-INT((AI6+AJ6*60-ROUND('Critérios e pesos'!$C$37*1440,0)-1)/(ROUND('Critérios e pesos'!$C$37*1440,0)-ROUND('Critérios e pesos'!$C$36*1440,0)))*(ROUND('Critérios e pesos'!$C$37*1440,0)-ROUND('Critérios e pesos'!$C$36*1440,0)))/1440))</f>
        <v/>
      </c>
      <c r="X6" s="16" t="n">
        <v>46267.39583333334</v>
      </c>
      <c r="Y6" s="14">
        <f>IF(W6="","",IF(X6="",IF(NOW()&gt;W6,"Atrasado","Em espera"),IF(X6&lt;=W6,"No prazo","Atrasado")))</f>
        <v/>
      </c>
      <c r="Z6" s="17" t="n"/>
      <c r="AA6" s="14">
        <f>IF($B6="","",IF(OR(T6="X",AD6&lt;&gt;""),0,MAX(0,MIN(Q6,'Critérios e pesos'!$C$38*INT((TODAY()-IF(Z6&lt;&gt;"",Z6,INT($A6)))/7)))))</f>
        <v/>
      </c>
      <c r="AB6" s="14">
        <f>IF($B6="","",MAX(0,S6-AA6))</f>
        <v/>
      </c>
      <c r="AC6" s="9">
        <f>IF($B6="","",IF(T6="X","X",IF(AB6&gt;='Critérios e pesos'!$C$29,"A",IF(AB6&gt;='Critérios e pesos'!$C$30,"B","C"))))</f>
        <v/>
      </c>
      <c r="AD6" s="4" t="inlineStr">
        <is>
          <t>Perdido</t>
        </is>
      </c>
      <c r="AE6" s="18" t="n"/>
      <c r="AF6" s="6" t="inlineStr">
        <is>
          <t>Chegou fora do horário: a contagem começou na quarta-feira às 9:00</t>
        </is>
      </c>
      <c r="AH6">
        <f>IF($A6="","",IF(OR(WEEKDAY($A6,2)&gt;5,ROUND(MOD($A6,1)*1440,0)&gt;=ROUND('Critérios e pesos'!$C$37*1440,0)),WORKDAY(INT($A6),1)+ROUND('Critérios e pesos'!$C$36*1440,0)/1440,IF(ROUND(MOD($A6,1)*1440,0)&lt;ROUND('Critérios e pesos'!$C$36*1440,0),INT($A6)+ROUND('Critérios e pesos'!$C$36*1440,0)/1440,$A6)))</f>
        <v/>
      </c>
      <c r="AI6">
        <f>IF(AH6="","",ROUND(MOD(AH6,1)*1440,0))</f>
        <v/>
      </c>
      <c r="AJ6">
        <f>IF(T6="","",INDEX('Critérios e pesos'!$E$29:$E$32,MATCH(T6,'Critérios e pesos'!$A$29:$A$32,0)))</f>
        <v/>
      </c>
      <c r="AL6" s="19" t="inlineStr">
        <is>
          <t>Em parte</t>
        </is>
      </c>
      <c r="AM6" s="19" t="inlineStr">
        <is>
          <t>Formulário web</t>
        </is>
      </c>
      <c r="AN6" s="19" t="inlineStr">
        <is>
          <t>Perdido</t>
        </is>
      </c>
    </row>
    <row r="7">
      <c r="A7" s="13" t="n">
        <v>46267.46180555555</v>
      </c>
      <c r="B7" s="6" t="inlineStr">
        <is>
          <t>Amy C.</t>
        </is>
      </c>
      <c r="C7" s="6" t="inlineStr">
        <is>
          <t>Brightline Tutoring</t>
        </is>
      </c>
      <c r="D7" s="4" t="inlineStr">
        <is>
          <t>Chat do site</t>
        </is>
      </c>
      <c r="E7" s="4" t="inlineStr">
        <is>
          <t>Em parte</t>
        </is>
      </c>
      <c r="F7" s="4" t="inlineStr">
        <is>
          <t>Claro</t>
        </is>
      </c>
      <c r="G7" s="4" t="inlineStr">
        <is>
          <t>Claro</t>
        </is>
      </c>
      <c r="H7" s="4" t="inlineStr">
        <is>
          <t>Não disse</t>
        </is>
      </c>
      <c r="I7" s="4" t="inlineStr">
        <is>
          <t>Em parte</t>
        </is>
      </c>
      <c r="J7" s="4" t="inlineStr">
        <is>
          <t>Não disse</t>
        </is>
      </c>
      <c r="K7" s="4" t="inlineStr">
        <is>
          <t>Não disse</t>
        </is>
      </c>
      <c r="L7" s="4" t="inlineStr">
        <is>
          <t>Em parte</t>
        </is>
      </c>
      <c r="M7" s="4" t="inlineStr">
        <is>
          <t>Não disse</t>
        </is>
      </c>
      <c r="N7" s="6" t="n"/>
      <c r="O7" s="6" t="n"/>
      <c r="P7" s="14">
        <f>IF($B7="","",(E7="Claro")*'Critérios e pesos'!$G$5+(E7="Em parte")*'Critérios e pesos'!$G$5/2+(F7="Claro")*'Critérios e pesos'!$G$6+(F7="Em parte")*'Critérios e pesos'!$G$6/2+(G7="Claro")*'Critérios e pesos'!$G$7+(G7="Em parte")*'Critérios e pesos'!$G$7/2+(H7="Claro")*'Critérios e pesos'!$G$8+(H7="Em parte")*'Critérios e pesos'!$G$8/2)</f>
        <v/>
      </c>
      <c r="Q7" s="14">
        <f>IF($B7="","",(I7="Claro")*'Critérios e pesos'!$G$9+(I7="Em parte")*'Critérios e pesos'!$G$9/2+(J7="Claro")*'Critérios e pesos'!$G$10+(J7="Em parte")*'Critérios e pesos'!$G$10/2+(K7="Claro")*'Critérios e pesos'!$G$11+(K7="Em parte")*'Critérios e pesos'!$G$11/2+(L7="Claro")*'Critérios e pesos'!$G$12+(L7="Em parte")*'Critérios e pesos'!$G$12/2+(M7="Claro")*'Critérios e pesos'!$G$13+(M7="Em parte")*'Critérios e pesos'!$G$13/2)</f>
        <v/>
      </c>
      <c r="R7" s="14">
        <f>IF($B7="","",IFERROR(VLOOKUP(N7,'Critérios e pesos'!$B$17:$C$20,2,FALSE),0))</f>
        <v/>
      </c>
      <c r="S7" s="9">
        <f>IF($B7="","",MAX(0,P7+Q7+R7))</f>
        <v/>
      </c>
      <c r="T7" s="9">
        <f>IF($B7="","",IF(O7&lt;&gt;"","X",IF(S7&gt;='Critérios e pesos'!$C$29,"A",IF(S7&gt;='Critérios e pesos'!$C$30,"B","C"))))</f>
        <v/>
      </c>
      <c r="U7" s="14">
        <f>IF(T7="","",INDEX('Critérios e pesos'!$D$29:$D$32,MATCH(T7,'Critérios e pesos'!$A$29:$A$32,0)))</f>
        <v/>
      </c>
      <c r="V7" s="14">
        <f>IF(T7="","",INDEX('Critérios e pesos'!$F$29:$F$32,MATCH(T7,'Critérios e pesos'!$A$29:$A$32,0)))</f>
        <v/>
      </c>
      <c r="W7" s="15">
        <f>IF(OR(AH7="",AJ7=""),"",IF(AI7+AJ7*60&lt;=ROUND('Critérios e pesos'!$C$37*1440,0),INT(AH7)+(AI7+AJ7*60)/1440,WORKDAY(INT(AH7),1+INT((AI7+AJ7*60-ROUND('Critérios e pesos'!$C$37*1440,0)-1)/(ROUND('Critérios e pesos'!$C$37*1440,0)-ROUND('Critérios e pesos'!$C$36*1440,0))))+(ROUND('Critérios e pesos'!$C$36*1440,0)+AI7+AJ7*60-ROUND('Critérios e pesos'!$C$37*1440,0)-INT((AI7+AJ7*60-ROUND('Critérios e pesos'!$C$37*1440,0)-1)/(ROUND('Critérios e pesos'!$C$37*1440,0)-ROUND('Critérios e pesos'!$C$36*1440,0)))*(ROUND('Critérios e pesos'!$C$37*1440,0)-ROUND('Critérios e pesos'!$C$36*1440,0)))/1440))</f>
        <v/>
      </c>
      <c r="X7" s="16" t="n">
        <v>46268.41666666666</v>
      </c>
      <c r="Y7" s="14">
        <f>IF(W7="","",IF(X7="",IF(NOW()&gt;W7,"Atrasado","Em espera"),IF(X7&lt;=W7,"No prazo","Atrasado")))</f>
        <v/>
      </c>
      <c r="Z7" s="17" t="n"/>
      <c r="AA7" s="14">
        <f>IF($B7="","",IF(OR(T7="X",AD7&lt;&gt;""),0,MAX(0,MIN(Q7,'Critérios e pesos'!$C$38*INT((TODAY()-IF(Z7&lt;&gt;"",Z7,INT($A7)))/7)))))</f>
        <v/>
      </c>
      <c r="AB7" s="14">
        <f>IF($B7="","",MAX(0,S7-AA7))</f>
        <v/>
      </c>
      <c r="AC7" s="9">
        <f>IF($B7="","",IF(T7="X","X",IF(AB7&gt;='Critérios e pesos'!$C$29,"A",IF(AB7&gt;='Critérios e pesos'!$C$30,"B","C"))))</f>
        <v/>
      </c>
      <c r="AD7" s="4" t="inlineStr">
        <is>
          <t>Perdido</t>
        </is>
      </c>
      <c r="AE7" s="18" t="n"/>
      <c r="AF7" s="6" t="n"/>
      <c r="AH7">
        <f>IF($A7="","",IF(OR(WEEKDAY($A7,2)&gt;5,ROUND(MOD($A7,1)*1440,0)&gt;=ROUND('Critérios e pesos'!$C$37*1440,0)),WORKDAY(INT($A7),1)+ROUND('Critérios e pesos'!$C$36*1440,0)/1440,IF(ROUND(MOD($A7,1)*1440,0)&lt;ROUND('Critérios e pesos'!$C$36*1440,0),INT($A7)+ROUND('Critérios e pesos'!$C$36*1440,0)/1440,$A7)))</f>
        <v/>
      </c>
      <c r="AI7">
        <f>IF(AH7="","",ROUND(MOD(AH7,1)*1440,0))</f>
        <v/>
      </c>
      <c r="AJ7">
        <f>IF(T7="","",INDEX('Critérios e pesos'!$E$29:$E$32,MATCH(T7,'Critérios e pesos'!$A$29:$A$32,0)))</f>
        <v/>
      </c>
      <c r="AL7" s="19" t="inlineStr">
        <is>
          <t>Não disse</t>
        </is>
      </c>
      <c r="AM7" s="19" t="inlineStr">
        <is>
          <t>Telefone</t>
        </is>
      </c>
    </row>
    <row r="8">
      <c r="A8" s="13" t="n">
        <v>46268.425</v>
      </c>
      <c r="B8" s="6" t="inlineStr">
        <is>
          <t>Jordan P.</t>
        </is>
      </c>
      <c r="C8" s="6" t="n"/>
      <c r="D8" s="4" t="inlineStr">
        <is>
          <t>Chat do site</t>
        </is>
      </c>
      <c r="E8" s="4" t="inlineStr">
        <is>
          <t>Não disse</t>
        </is>
      </c>
      <c r="F8" s="4" t="inlineStr">
        <is>
          <t>Não disse</t>
        </is>
      </c>
      <c r="G8" s="4" t="inlineStr">
        <is>
          <t>Não disse</t>
        </is>
      </c>
      <c r="H8" s="4" t="inlineStr">
        <is>
          <t>Não disse</t>
        </is>
      </c>
      <c r="I8" s="4" t="inlineStr">
        <is>
          <t>Não disse</t>
        </is>
      </c>
      <c r="J8" s="4" t="inlineStr">
        <is>
          <t>Não disse</t>
        </is>
      </c>
      <c r="K8" s="4" t="inlineStr">
        <is>
          <t>Não disse</t>
        </is>
      </c>
      <c r="L8" s="4" t="inlineStr">
        <is>
          <t>Não disse</t>
        </is>
      </c>
      <c r="M8" s="4" t="inlineStr">
        <is>
          <t>Não disse</t>
        </is>
      </c>
      <c r="N8" s="6" t="n"/>
      <c r="O8" s="6" t="inlineStr">
        <is>
          <t>Não é comprador: candidato a emprego, fornecedor, concorrente, spam</t>
        </is>
      </c>
      <c r="P8" s="14">
        <f>IF($B8="","",(E8="Claro")*'Critérios e pesos'!$G$5+(E8="Em parte")*'Critérios e pesos'!$G$5/2+(F8="Claro")*'Critérios e pesos'!$G$6+(F8="Em parte")*'Critérios e pesos'!$G$6/2+(G8="Claro")*'Critérios e pesos'!$G$7+(G8="Em parte")*'Critérios e pesos'!$G$7/2+(H8="Claro")*'Critérios e pesos'!$G$8+(H8="Em parte")*'Critérios e pesos'!$G$8/2)</f>
        <v/>
      </c>
      <c r="Q8" s="14">
        <f>IF($B8="","",(I8="Claro")*'Critérios e pesos'!$G$9+(I8="Em parte")*'Critérios e pesos'!$G$9/2+(J8="Claro")*'Critérios e pesos'!$G$10+(J8="Em parte")*'Critérios e pesos'!$G$10/2+(K8="Claro")*'Critérios e pesos'!$G$11+(K8="Em parte")*'Critérios e pesos'!$G$11/2+(L8="Claro")*'Critérios e pesos'!$G$12+(L8="Em parte")*'Critérios e pesos'!$G$12/2+(M8="Claro")*'Critérios e pesos'!$G$13+(M8="Em parte")*'Critérios e pesos'!$G$13/2)</f>
        <v/>
      </c>
      <c r="R8" s="14">
        <f>IF($B8="","",IFERROR(VLOOKUP(N8,'Critérios e pesos'!$B$17:$C$20,2,FALSE),0))</f>
        <v/>
      </c>
      <c r="S8" s="9">
        <f>IF($B8="","",MAX(0,P8+Q8+R8))</f>
        <v/>
      </c>
      <c r="T8" s="9">
        <f>IF($B8="","",IF(O8&lt;&gt;"","X",IF(S8&gt;='Critérios e pesos'!$C$29,"A",IF(S8&gt;='Critérios e pesos'!$C$30,"B","C"))))</f>
        <v/>
      </c>
      <c r="U8" s="14">
        <f>IF(T8="","",INDEX('Critérios e pesos'!$D$29:$D$32,MATCH(T8,'Critérios e pesos'!$A$29:$A$32,0)))</f>
        <v/>
      </c>
      <c r="V8" s="14">
        <f>IF(T8="","",INDEX('Critérios e pesos'!$F$29:$F$32,MATCH(T8,'Critérios e pesos'!$A$29:$A$32,0)))</f>
        <v/>
      </c>
      <c r="W8" s="15">
        <f>IF(OR(AH8="",AJ8=""),"",IF(AI8+AJ8*60&lt;=ROUND('Critérios e pesos'!$C$37*1440,0),INT(AH8)+(AI8+AJ8*60)/1440,WORKDAY(INT(AH8),1+INT((AI8+AJ8*60-ROUND('Critérios e pesos'!$C$37*1440,0)-1)/(ROUND('Critérios e pesos'!$C$37*1440,0)-ROUND('Critérios e pesos'!$C$36*1440,0))))+(ROUND('Critérios e pesos'!$C$36*1440,0)+AI8+AJ8*60-ROUND('Critérios e pesos'!$C$37*1440,0)-INT((AI8+AJ8*60-ROUND('Critérios e pesos'!$C$37*1440,0)-1)/(ROUND('Critérios e pesos'!$C$37*1440,0)-ROUND('Critérios e pesos'!$C$36*1440,0)))*(ROUND('Critérios e pesos'!$C$37*1440,0)-ROUND('Critérios e pesos'!$C$36*1440,0)))/1440))</f>
        <v/>
      </c>
      <c r="X8" s="16" t="n">
        <v>46269.39583333334</v>
      </c>
      <c r="Y8" s="14">
        <f>IF(W8="","",IF(X8="",IF(NOW()&gt;W8,"Atrasado","Em espera"),IF(X8&lt;=W8,"No prazo","Atrasado")))</f>
        <v/>
      </c>
      <c r="Z8" s="17" t="n"/>
      <c r="AA8" s="14">
        <f>IF($B8="","",IF(OR(T8="X",AD8&lt;&gt;""),0,MAX(0,MIN(Q8,'Critérios e pesos'!$C$38*INT((TODAY()-IF(Z8&lt;&gt;"",Z8,INT($A8)))/7)))))</f>
        <v/>
      </c>
      <c r="AB8" s="14">
        <f>IF($B8="","",MAX(0,S8-AA8))</f>
        <v/>
      </c>
      <c r="AC8" s="9">
        <f>IF($B8="","",IF(T8="X","X",IF(AB8&gt;='Critérios e pesos'!$C$29,"A",IF(AB8&gt;='Critérios e pesos'!$C$30,"B","C"))))</f>
        <v/>
      </c>
      <c r="AD8" s="4" t="n"/>
      <c r="AE8" s="18" t="n"/>
      <c r="AF8" s="6" t="inlineStr">
        <is>
          <t>Candidato a emprego</t>
        </is>
      </c>
      <c r="AH8">
        <f>IF($A8="","",IF(OR(WEEKDAY($A8,2)&gt;5,ROUND(MOD($A8,1)*1440,0)&gt;=ROUND('Critérios e pesos'!$C$37*1440,0)),WORKDAY(INT($A8),1)+ROUND('Critérios e pesos'!$C$36*1440,0)/1440,IF(ROUND(MOD($A8,1)*1440,0)&lt;ROUND('Critérios e pesos'!$C$36*1440,0),INT($A8)+ROUND('Critérios e pesos'!$C$36*1440,0)/1440,$A8)))</f>
        <v/>
      </c>
      <c r="AI8">
        <f>IF(AH8="","",ROUND(MOD(AH8,1)*1440,0))</f>
        <v/>
      </c>
      <c r="AJ8">
        <f>IF(T8="","",INDEX('Critérios e pesos'!$E$29:$E$32,MATCH(T8,'Critérios e pesos'!$A$29:$A$32,0)))</f>
        <v/>
      </c>
      <c r="AM8" s="19" t="inlineStr">
        <is>
          <t>Recomendação</t>
        </is>
      </c>
    </row>
    <row r="9">
      <c r="A9" s="13" t="n">
        <v>46268.60416666666</v>
      </c>
      <c r="B9" s="6" t="inlineStr">
        <is>
          <t>Victor H.</t>
        </is>
      </c>
      <c r="C9" s="6" t="inlineStr">
        <is>
          <t>Hale Freight Brokers</t>
        </is>
      </c>
      <c r="D9" s="4" t="inlineStr">
        <is>
          <t>Telefone</t>
        </is>
      </c>
      <c r="E9" s="4" t="inlineStr">
        <is>
          <t>Claro</t>
        </is>
      </c>
      <c r="F9" s="4" t="inlineStr">
        <is>
          <t>Claro</t>
        </is>
      </c>
      <c r="G9" s="4" t="inlineStr">
        <is>
          <t>Claro</t>
        </is>
      </c>
      <c r="H9" s="4" t="inlineStr">
        <is>
          <t>Em parte</t>
        </is>
      </c>
      <c r="I9" s="4" t="inlineStr">
        <is>
          <t>Claro</t>
        </is>
      </c>
      <c r="J9" s="4" t="inlineStr">
        <is>
          <t>Claro</t>
        </is>
      </c>
      <c r="K9" s="4" t="inlineStr">
        <is>
          <t>Claro</t>
        </is>
      </c>
      <c r="L9" s="4" t="inlineStr">
        <is>
          <t>Claro</t>
        </is>
      </c>
      <c r="M9" s="4" t="inlineStr">
        <is>
          <t>Claro</t>
        </is>
      </c>
      <c r="N9" s="6" t="n"/>
      <c r="O9" s="6" t="n"/>
      <c r="P9" s="14">
        <f>IF($B9="","",(E9="Claro")*'Critérios e pesos'!$G$5+(E9="Em parte")*'Critérios e pesos'!$G$5/2+(F9="Claro")*'Critérios e pesos'!$G$6+(F9="Em parte")*'Critérios e pesos'!$G$6/2+(G9="Claro")*'Critérios e pesos'!$G$7+(G9="Em parte")*'Critérios e pesos'!$G$7/2+(H9="Claro")*'Critérios e pesos'!$G$8+(H9="Em parte")*'Critérios e pesos'!$G$8/2)</f>
        <v/>
      </c>
      <c r="Q9" s="14">
        <f>IF($B9="","",(I9="Claro")*'Critérios e pesos'!$G$9+(I9="Em parte")*'Critérios e pesos'!$G$9/2+(J9="Claro")*'Critérios e pesos'!$G$10+(J9="Em parte")*'Critérios e pesos'!$G$10/2+(K9="Claro")*'Critérios e pesos'!$G$11+(K9="Em parte")*'Critérios e pesos'!$G$11/2+(L9="Claro")*'Critérios e pesos'!$G$12+(L9="Em parte")*'Critérios e pesos'!$G$12/2+(M9="Claro")*'Critérios e pesos'!$G$13+(M9="Em parte")*'Critérios e pesos'!$G$13/2)</f>
        <v/>
      </c>
      <c r="R9" s="14">
        <f>IF($B9="","",IFERROR(VLOOKUP(N9,'Critérios e pesos'!$B$17:$C$20,2,FALSE),0))</f>
        <v/>
      </c>
      <c r="S9" s="9">
        <f>IF($B9="","",MAX(0,P9+Q9+R9))</f>
        <v/>
      </c>
      <c r="T9" s="9">
        <f>IF($B9="","",IF(O9&lt;&gt;"","X",IF(S9&gt;='Critérios e pesos'!$C$29,"A",IF(S9&gt;='Critérios e pesos'!$C$30,"B","C"))))</f>
        <v/>
      </c>
      <c r="U9" s="14">
        <f>IF(T9="","",INDEX('Critérios e pesos'!$D$29:$D$32,MATCH(T9,'Critérios e pesos'!$A$29:$A$32,0)))</f>
        <v/>
      </c>
      <c r="V9" s="14">
        <f>IF(T9="","",INDEX('Critérios e pesos'!$F$29:$F$32,MATCH(T9,'Critérios e pesos'!$A$29:$A$32,0)))</f>
        <v/>
      </c>
      <c r="W9" s="15">
        <f>IF(OR(AH9="",AJ9=""),"",IF(AI9+AJ9*60&lt;=ROUND('Critérios e pesos'!$C$37*1440,0),INT(AH9)+(AI9+AJ9*60)/1440,WORKDAY(INT(AH9),1+INT((AI9+AJ9*60-ROUND('Critérios e pesos'!$C$37*1440,0)-1)/(ROUND('Critérios e pesos'!$C$37*1440,0)-ROUND('Critérios e pesos'!$C$36*1440,0))))+(ROUND('Critérios e pesos'!$C$36*1440,0)+AI9+AJ9*60-ROUND('Critérios e pesos'!$C$37*1440,0)-INT((AI9+AJ9*60-ROUND('Critérios e pesos'!$C$37*1440,0)-1)/(ROUND('Critérios e pesos'!$C$37*1440,0)-ROUND('Critérios e pesos'!$C$36*1440,0)))*(ROUND('Critérios e pesos'!$C$37*1440,0)-ROUND('Critérios e pesos'!$C$36*1440,0)))/1440))</f>
        <v/>
      </c>
      <c r="X9" s="16" t="n">
        <v>46268.61944444444</v>
      </c>
      <c r="Y9" s="14">
        <f>IF(W9="","",IF(X9="",IF(NOW()&gt;W9,"Atrasado","Em espera"),IF(X9&lt;=W9,"No prazo","Atrasado")))</f>
        <v/>
      </c>
      <c r="Z9" s="17" t="n"/>
      <c r="AA9" s="14">
        <f>IF($B9="","",IF(OR(T9="X",AD9&lt;&gt;""),0,MAX(0,MIN(Q9,'Critérios e pesos'!$C$38*INT((TODAY()-IF(Z9&lt;&gt;"",Z9,INT($A9)))/7)))))</f>
        <v/>
      </c>
      <c r="AB9" s="14">
        <f>IF($B9="","",MAX(0,S9-AA9))</f>
        <v/>
      </c>
      <c r="AC9" s="9">
        <f>IF($B9="","",IF(T9="X","X",IF(AB9&gt;='Critérios e pesos'!$C$29,"A",IF(AB9&gt;='Critérios e pesos'!$C$30,"B","C"))))</f>
        <v/>
      </c>
      <c r="AD9" s="4" t="inlineStr">
        <is>
          <t>Ganho</t>
        </is>
      </c>
      <c r="AE9" s="18" t="n">
        <v>9600</v>
      </c>
      <c r="AF9" s="6" t="n"/>
      <c r="AH9">
        <f>IF($A9="","",IF(OR(WEEKDAY($A9,2)&gt;5,ROUND(MOD($A9,1)*1440,0)&gt;=ROUND('Critérios e pesos'!$C$37*1440,0)),WORKDAY(INT($A9),1)+ROUND('Critérios e pesos'!$C$36*1440,0)/1440,IF(ROUND(MOD($A9,1)*1440,0)&lt;ROUND('Critérios e pesos'!$C$36*1440,0),INT($A9)+ROUND('Critérios e pesos'!$C$36*1440,0)/1440,$A9)))</f>
        <v/>
      </c>
      <c r="AI9">
        <f>IF(AH9="","",ROUND(MOD(AH9,1)*1440,0))</f>
        <v/>
      </c>
      <c r="AJ9">
        <f>IF(T9="","",INDEX('Critérios e pesos'!$E$29:$E$32,MATCH(T9,'Critérios e pesos'!$A$29:$A$32,0)))</f>
        <v/>
      </c>
      <c r="AM9" s="19" t="inlineStr">
        <is>
          <t>Email</t>
        </is>
      </c>
    </row>
    <row r="10">
      <c r="A10" s="13" t="n">
        <v>46273.38541666666</v>
      </c>
      <c r="B10" s="6" t="inlineStr">
        <is>
          <t>Grace L.</t>
        </is>
      </c>
      <c r="C10" s="6" t="inlineStr">
        <is>
          <t>Foothill Physio</t>
        </is>
      </c>
      <c r="D10" s="4" t="inlineStr">
        <is>
          <t>Chat do site</t>
        </is>
      </c>
      <c r="E10" s="4" t="inlineStr">
        <is>
          <t>Claro</t>
        </is>
      </c>
      <c r="F10" s="4" t="inlineStr">
        <is>
          <t>Claro</t>
        </is>
      </c>
      <c r="G10" s="4" t="inlineStr">
        <is>
          <t>Claro</t>
        </is>
      </c>
      <c r="H10" s="4" t="inlineStr">
        <is>
          <t>Claro</t>
        </is>
      </c>
      <c r="I10" s="4" t="inlineStr">
        <is>
          <t>Claro</t>
        </is>
      </c>
      <c r="J10" s="4" t="inlineStr">
        <is>
          <t>Claro</t>
        </is>
      </c>
      <c r="K10" s="4" t="inlineStr">
        <is>
          <t>Em parte</t>
        </is>
      </c>
      <c r="L10" s="4" t="inlineStr">
        <is>
          <t>Em parte</t>
        </is>
      </c>
      <c r="M10" s="4" t="inlineStr">
        <is>
          <t>Claro</t>
        </is>
      </c>
      <c r="N10" s="6" t="n"/>
      <c r="O10" s="6" t="n"/>
      <c r="P10" s="14">
        <f>IF($B10="","",(E10="Claro")*'Critérios e pesos'!$G$5+(E10="Em parte")*'Critérios e pesos'!$G$5/2+(F10="Claro")*'Critérios e pesos'!$G$6+(F10="Em parte")*'Critérios e pesos'!$G$6/2+(G10="Claro")*'Critérios e pesos'!$G$7+(G10="Em parte")*'Critérios e pesos'!$G$7/2+(H10="Claro")*'Critérios e pesos'!$G$8+(H10="Em parte")*'Critérios e pesos'!$G$8/2)</f>
        <v/>
      </c>
      <c r="Q10" s="14">
        <f>IF($B10="","",(I10="Claro")*'Critérios e pesos'!$G$9+(I10="Em parte")*'Critérios e pesos'!$G$9/2+(J10="Claro")*'Critérios e pesos'!$G$10+(J10="Em parte")*'Critérios e pesos'!$G$10/2+(K10="Claro")*'Critérios e pesos'!$G$11+(K10="Em parte")*'Critérios e pesos'!$G$11/2+(L10="Claro")*'Critérios e pesos'!$G$12+(L10="Em parte")*'Critérios e pesos'!$G$12/2+(M10="Claro")*'Critérios e pesos'!$G$13+(M10="Em parte")*'Critérios e pesos'!$G$13/2)</f>
        <v/>
      </c>
      <c r="R10" s="14">
        <f>IF($B10="","",IFERROR(VLOOKUP(N10,'Critérios e pesos'!$B$17:$C$20,2,FALSE),0))</f>
        <v/>
      </c>
      <c r="S10" s="9">
        <f>IF($B10="","",MAX(0,P10+Q10+R10))</f>
        <v/>
      </c>
      <c r="T10" s="9">
        <f>IF($B10="","",IF(O10&lt;&gt;"","X",IF(S10&gt;='Critérios e pesos'!$C$29,"A",IF(S10&gt;='Critérios e pesos'!$C$30,"B","C"))))</f>
        <v/>
      </c>
      <c r="U10" s="14">
        <f>IF(T10="","",INDEX('Critérios e pesos'!$D$29:$D$32,MATCH(T10,'Critérios e pesos'!$A$29:$A$32,0)))</f>
        <v/>
      </c>
      <c r="V10" s="14">
        <f>IF(T10="","",INDEX('Critérios e pesos'!$F$29:$F$32,MATCH(T10,'Critérios e pesos'!$A$29:$A$32,0)))</f>
        <v/>
      </c>
      <c r="W10" s="15">
        <f>IF(OR(AH10="",AJ10=""),"",IF(AI10+AJ10*60&lt;=ROUND('Critérios e pesos'!$C$37*1440,0),INT(AH10)+(AI10+AJ10*60)/1440,WORKDAY(INT(AH10),1+INT((AI10+AJ10*60-ROUND('Critérios e pesos'!$C$37*1440,0)-1)/(ROUND('Critérios e pesos'!$C$37*1440,0)-ROUND('Critérios e pesos'!$C$36*1440,0))))+(ROUND('Critérios e pesos'!$C$36*1440,0)+AI10+AJ10*60-ROUND('Critérios e pesos'!$C$37*1440,0)-INT((AI10+AJ10*60-ROUND('Critérios e pesos'!$C$37*1440,0)-1)/(ROUND('Critérios e pesos'!$C$37*1440,0)-ROUND('Critérios e pesos'!$C$36*1440,0)))*(ROUND('Critérios e pesos'!$C$37*1440,0)-ROUND('Critérios e pesos'!$C$36*1440,0)))/1440))</f>
        <v/>
      </c>
      <c r="X10" s="16" t="n">
        <v>46273.39652777778</v>
      </c>
      <c r="Y10" s="14">
        <f>IF(W10="","",IF(X10="",IF(NOW()&gt;W10,"Atrasado","Em espera"),IF(X10&lt;=W10,"No prazo","Atrasado")))</f>
        <v/>
      </c>
      <c r="Z10" s="17" t="n"/>
      <c r="AA10" s="14">
        <f>IF($B10="","",IF(OR(T10="X",AD10&lt;&gt;""),0,MAX(0,MIN(Q10,'Critérios e pesos'!$C$38*INT((TODAY()-IF(Z10&lt;&gt;"",Z10,INT($A10)))/7)))))</f>
        <v/>
      </c>
      <c r="AB10" s="14">
        <f>IF($B10="","",MAX(0,S10-AA10))</f>
        <v/>
      </c>
      <c r="AC10" s="9">
        <f>IF($B10="","",IF(T10="X","X",IF(AB10&gt;='Critérios e pesos'!$C$29,"A",IF(AB10&gt;='Critérios e pesos'!$C$30,"B","C"))))</f>
        <v/>
      </c>
      <c r="AD10" s="4" t="inlineStr">
        <is>
          <t>Ganho</t>
        </is>
      </c>
      <c r="AE10" s="18" t="n">
        <v>6000</v>
      </c>
      <c r="AF10" s="6" t="n"/>
      <c r="AH10">
        <f>IF($A10="","",IF(OR(WEEKDAY($A10,2)&gt;5,ROUND(MOD($A10,1)*1440,0)&gt;=ROUND('Critérios e pesos'!$C$37*1440,0)),WORKDAY(INT($A10),1)+ROUND('Critérios e pesos'!$C$36*1440,0)/1440,IF(ROUND(MOD($A10,1)*1440,0)&lt;ROUND('Critérios e pesos'!$C$36*1440,0),INT($A10)+ROUND('Critérios e pesos'!$C$36*1440,0)/1440,$A10)))</f>
        <v/>
      </c>
      <c r="AI10">
        <f>IF(AH10="","",ROUND(MOD(AH10,1)*1440,0))</f>
        <v/>
      </c>
      <c r="AJ10">
        <f>IF(T10="","",INDEX('Critérios e pesos'!$E$29:$E$32,MATCH(T10,'Critérios e pesos'!$A$29:$A$32,0)))</f>
        <v/>
      </c>
    </row>
    <row r="11">
      <c r="A11" s="13" t="n">
        <v>46273.70138888889</v>
      </c>
      <c r="B11" s="6" t="inlineStr">
        <is>
          <t>Owen M.</t>
        </is>
      </c>
      <c r="C11" s="6" t="inlineStr">
        <is>
          <t>Marsh Electric</t>
        </is>
      </c>
      <c r="D11" s="4" t="inlineStr">
        <is>
          <t>Formulário web</t>
        </is>
      </c>
      <c r="E11" s="4" t="inlineStr">
        <is>
          <t>Claro</t>
        </is>
      </c>
      <c r="F11" s="4" t="inlineStr">
        <is>
          <t>Claro</t>
        </is>
      </c>
      <c r="G11" s="4" t="inlineStr">
        <is>
          <t>Claro</t>
        </is>
      </c>
      <c r="H11" s="4" t="inlineStr">
        <is>
          <t>Em parte</t>
        </is>
      </c>
      <c r="I11" s="4" t="inlineStr">
        <is>
          <t>Claro</t>
        </is>
      </c>
      <c r="J11" s="4" t="inlineStr">
        <is>
          <t>Em parte</t>
        </is>
      </c>
      <c r="K11" s="4" t="inlineStr">
        <is>
          <t>Não disse</t>
        </is>
      </c>
      <c r="L11" s="4" t="inlineStr">
        <is>
          <t>Em parte</t>
        </is>
      </c>
      <c r="M11" s="4" t="inlineStr">
        <is>
          <t>Não disse</t>
        </is>
      </c>
      <c r="N11" s="6" t="n"/>
      <c r="O11" s="6" t="n"/>
      <c r="P11" s="14">
        <f>IF($B11="","",(E11="Claro")*'Critérios e pesos'!$G$5+(E11="Em parte")*'Critérios e pesos'!$G$5/2+(F11="Claro")*'Critérios e pesos'!$G$6+(F11="Em parte")*'Critérios e pesos'!$G$6/2+(G11="Claro")*'Critérios e pesos'!$G$7+(G11="Em parte")*'Critérios e pesos'!$G$7/2+(H11="Claro")*'Critérios e pesos'!$G$8+(H11="Em parte")*'Critérios e pesos'!$G$8/2)</f>
        <v/>
      </c>
      <c r="Q11" s="14">
        <f>IF($B11="","",(I11="Claro")*'Critérios e pesos'!$G$9+(I11="Em parte")*'Critérios e pesos'!$G$9/2+(J11="Claro")*'Critérios e pesos'!$G$10+(J11="Em parte")*'Critérios e pesos'!$G$10/2+(K11="Claro")*'Critérios e pesos'!$G$11+(K11="Em parte")*'Critérios e pesos'!$G$11/2+(L11="Claro")*'Critérios e pesos'!$G$12+(L11="Em parte")*'Critérios e pesos'!$G$12/2+(M11="Claro")*'Critérios e pesos'!$G$13+(M11="Em parte")*'Critérios e pesos'!$G$13/2)</f>
        <v/>
      </c>
      <c r="R11" s="14">
        <f>IF($B11="","",IFERROR(VLOOKUP(N11,'Critérios e pesos'!$B$17:$C$20,2,FALSE),0))</f>
        <v/>
      </c>
      <c r="S11" s="9">
        <f>IF($B11="","",MAX(0,P11+Q11+R11))</f>
        <v/>
      </c>
      <c r="T11" s="9">
        <f>IF($B11="","",IF(O11&lt;&gt;"","X",IF(S11&gt;='Critérios e pesos'!$C$29,"A",IF(S11&gt;='Critérios e pesos'!$C$30,"B","C"))))</f>
        <v/>
      </c>
      <c r="U11" s="14">
        <f>IF(T11="","",INDEX('Critérios e pesos'!$D$29:$D$32,MATCH(T11,'Critérios e pesos'!$A$29:$A$32,0)))</f>
        <v/>
      </c>
      <c r="V11" s="14">
        <f>IF(T11="","",INDEX('Critérios e pesos'!$F$29:$F$32,MATCH(T11,'Critérios e pesos'!$A$29:$A$32,0)))</f>
        <v/>
      </c>
      <c r="W11" s="15">
        <f>IF(OR(AH11="",AJ11=""),"",IF(AI11+AJ11*60&lt;=ROUND('Critérios e pesos'!$C$37*1440,0),INT(AH11)+(AI11+AJ11*60)/1440,WORKDAY(INT(AH11),1+INT((AI11+AJ11*60-ROUND('Critérios e pesos'!$C$37*1440,0)-1)/(ROUND('Critérios e pesos'!$C$37*1440,0)-ROUND('Critérios e pesos'!$C$36*1440,0))))+(ROUND('Critérios e pesos'!$C$36*1440,0)+AI11+AJ11*60-ROUND('Critérios e pesos'!$C$37*1440,0)-INT((AI11+AJ11*60-ROUND('Critérios e pesos'!$C$37*1440,0)-1)/(ROUND('Critérios e pesos'!$C$37*1440,0)-ROUND('Critérios e pesos'!$C$36*1440,0)))*(ROUND('Critérios e pesos'!$C$37*1440,0)-ROUND('Critérios e pesos'!$C$36*1440,0)))/1440))</f>
        <v/>
      </c>
      <c r="X11" s="16" t="n">
        <v>46274.38888888889</v>
      </c>
      <c r="Y11" s="14">
        <f>IF(W11="","",IF(X11="",IF(NOW()&gt;W11,"Atrasado","Em espera"),IF(X11&lt;=W11,"No prazo","Atrasado")))</f>
        <v/>
      </c>
      <c r="Z11" s="17" t="n"/>
      <c r="AA11" s="14">
        <f>IF($B11="","",IF(OR(T11="X",AD11&lt;&gt;""),0,MAX(0,MIN(Q11,'Critérios e pesos'!$C$38*INT((TODAY()-IF(Z11&lt;&gt;"",Z11,INT($A11)))/7)))))</f>
        <v/>
      </c>
      <c r="AB11" s="14">
        <f>IF($B11="","",MAX(0,S11-AA11))</f>
        <v/>
      </c>
      <c r="AC11" s="9">
        <f>IF($B11="","",IF(T11="X","X",IF(AB11&gt;='Critérios e pesos'!$C$29,"A",IF(AB11&gt;='Critérios e pesos'!$C$30,"B","C"))))</f>
        <v/>
      </c>
      <c r="AD11" s="4" t="inlineStr">
        <is>
          <t>Ganho</t>
        </is>
      </c>
      <c r="AE11" s="18" t="n">
        <v>5400</v>
      </c>
      <c r="AF11" s="6" t="n"/>
      <c r="AH11">
        <f>IF($A11="","",IF(OR(WEEKDAY($A11,2)&gt;5,ROUND(MOD($A11,1)*1440,0)&gt;=ROUND('Critérios e pesos'!$C$37*1440,0)),WORKDAY(INT($A11),1)+ROUND('Critérios e pesos'!$C$36*1440,0)/1440,IF(ROUND(MOD($A11,1)*1440,0)&lt;ROUND('Critérios e pesos'!$C$36*1440,0),INT($A11)+ROUND('Critérios e pesos'!$C$36*1440,0)/1440,$A11)))</f>
        <v/>
      </c>
      <c r="AI11">
        <f>IF(AH11="","",ROUND(MOD(AH11,1)*1440,0))</f>
        <v/>
      </c>
      <c r="AJ11">
        <f>IF(T11="","",INDEX('Critérios e pesos'!$E$29:$E$32,MATCH(T11,'Critérios e pesos'!$A$29:$A$32,0)))</f>
        <v/>
      </c>
    </row>
    <row r="12">
      <c r="A12" s="13" t="n">
        <v>46274.55555555555</v>
      </c>
      <c r="B12" s="6" t="inlineStr">
        <is>
          <t>Priya N.</t>
        </is>
      </c>
      <c r="C12" s="6" t="inlineStr">
        <is>
          <t>Nair Design Studio</t>
        </is>
      </c>
      <c r="D12" s="4" t="inlineStr">
        <is>
          <t>Chat do site</t>
        </is>
      </c>
      <c r="E12" s="4" t="inlineStr">
        <is>
          <t>Em parte</t>
        </is>
      </c>
      <c r="F12" s="4" t="inlineStr">
        <is>
          <t>Em parte</t>
        </is>
      </c>
      <c r="G12" s="4" t="inlineStr">
        <is>
          <t>Claro</t>
        </is>
      </c>
      <c r="H12" s="4" t="inlineStr">
        <is>
          <t>Claro</t>
        </is>
      </c>
      <c r="I12" s="4" t="inlineStr">
        <is>
          <t>Em parte</t>
        </is>
      </c>
      <c r="J12" s="4" t="inlineStr">
        <is>
          <t>Não disse</t>
        </is>
      </c>
      <c r="K12" s="4" t="inlineStr">
        <is>
          <t>Não disse</t>
        </is>
      </c>
      <c r="L12" s="4" t="inlineStr">
        <is>
          <t>Claro</t>
        </is>
      </c>
      <c r="M12" s="4" t="inlineStr">
        <is>
          <t>Não disse</t>
        </is>
      </c>
      <c r="N12" s="6" t="inlineStr">
        <is>
          <t>Início daqui a mais de 6 meses</t>
        </is>
      </c>
      <c r="O12" s="6" t="n"/>
      <c r="P12" s="14">
        <f>IF($B12="","",(E12="Claro")*'Critérios e pesos'!$G$5+(E12="Em parte")*'Critérios e pesos'!$G$5/2+(F12="Claro")*'Critérios e pesos'!$G$6+(F12="Em parte")*'Critérios e pesos'!$G$6/2+(G12="Claro")*'Critérios e pesos'!$G$7+(G12="Em parte")*'Critérios e pesos'!$G$7/2+(H12="Claro")*'Critérios e pesos'!$G$8+(H12="Em parte")*'Critérios e pesos'!$G$8/2)</f>
        <v/>
      </c>
      <c r="Q12" s="14">
        <f>IF($B12="","",(I12="Claro")*'Critérios e pesos'!$G$9+(I12="Em parte")*'Critérios e pesos'!$G$9/2+(J12="Claro")*'Critérios e pesos'!$G$10+(J12="Em parte")*'Critérios e pesos'!$G$10/2+(K12="Claro")*'Critérios e pesos'!$G$11+(K12="Em parte")*'Critérios e pesos'!$G$11/2+(L12="Claro")*'Critérios e pesos'!$G$12+(L12="Em parte")*'Critérios e pesos'!$G$12/2+(M12="Claro")*'Critérios e pesos'!$G$13+(M12="Em parte")*'Critérios e pesos'!$G$13/2)</f>
        <v/>
      </c>
      <c r="R12" s="14">
        <f>IF($B12="","",IFERROR(VLOOKUP(N12,'Critérios e pesos'!$B$17:$C$20,2,FALSE),0))</f>
        <v/>
      </c>
      <c r="S12" s="9">
        <f>IF($B12="","",MAX(0,P12+Q12+R12))</f>
        <v/>
      </c>
      <c r="T12" s="9">
        <f>IF($B12="","",IF(O12&lt;&gt;"","X",IF(S12&gt;='Critérios e pesos'!$C$29,"A",IF(S12&gt;='Critérios e pesos'!$C$30,"B","C"))))</f>
        <v/>
      </c>
      <c r="U12" s="14">
        <f>IF(T12="","",INDEX('Critérios e pesos'!$D$29:$D$32,MATCH(T12,'Critérios e pesos'!$A$29:$A$32,0)))</f>
        <v/>
      </c>
      <c r="V12" s="14">
        <f>IF(T12="","",INDEX('Critérios e pesos'!$F$29:$F$32,MATCH(T12,'Critérios e pesos'!$A$29:$A$32,0)))</f>
        <v/>
      </c>
      <c r="W12" s="15">
        <f>IF(OR(AH12="",AJ12=""),"",IF(AI12+AJ12*60&lt;=ROUND('Critérios e pesos'!$C$37*1440,0),INT(AH12)+(AI12+AJ12*60)/1440,WORKDAY(INT(AH12),1+INT((AI12+AJ12*60-ROUND('Critérios e pesos'!$C$37*1440,0)-1)/(ROUND('Critérios e pesos'!$C$37*1440,0)-ROUND('Critérios e pesos'!$C$36*1440,0))))+(ROUND('Critérios e pesos'!$C$36*1440,0)+AI12+AJ12*60-ROUND('Critérios e pesos'!$C$37*1440,0)-INT((AI12+AJ12*60-ROUND('Critérios e pesos'!$C$37*1440,0)-1)/(ROUND('Critérios e pesos'!$C$37*1440,0)-ROUND('Critérios e pesos'!$C$36*1440,0)))*(ROUND('Critérios e pesos'!$C$37*1440,0)-ROUND('Critérios e pesos'!$C$36*1440,0)))/1440))</f>
        <v/>
      </c>
      <c r="X12" s="16" t="n">
        <v>46275.45833333334</v>
      </c>
      <c r="Y12" s="14">
        <f>IF(W12="","",IF(X12="",IF(NOW()&gt;W12,"Atrasado","Em espera"),IF(X12&lt;=W12,"No prazo","Atrasado")))</f>
        <v/>
      </c>
      <c r="Z12" s="17" t="n"/>
      <c r="AA12" s="14">
        <f>IF($B12="","",IF(OR(T12="X",AD12&lt;&gt;""),0,MAX(0,MIN(Q12,'Critérios e pesos'!$C$38*INT((TODAY()-IF(Z12&lt;&gt;"",Z12,INT($A12)))/7)))))</f>
        <v/>
      </c>
      <c r="AB12" s="14">
        <f>IF($B12="","",MAX(0,S12-AA12))</f>
        <v/>
      </c>
      <c r="AC12" s="9">
        <f>IF($B12="","",IF(T12="X","X",IF(AB12&gt;='Critérios e pesos'!$C$29,"A",IF(AB12&gt;='Critérios e pesos'!$C$30,"B","C"))))</f>
        <v/>
      </c>
      <c r="AD12" s="4" t="inlineStr">
        <is>
          <t>Perdido</t>
        </is>
      </c>
      <c r="AE12" s="18" t="n"/>
      <c r="AF12" s="6" t="n"/>
      <c r="AH12">
        <f>IF($A12="","",IF(OR(WEEKDAY($A12,2)&gt;5,ROUND(MOD($A12,1)*1440,0)&gt;=ROUND('Critérios e pesos'!$C$37*1440,0)),WORKDAY(INT($A12),1)+ROUND('Critérios e pesos'!$C$36*1440,0)/1440,IF(ROUND(MOD($A12,1)*1440,0)&lt;ROUND('Critérios e pesos'!$C$36*1440,0),INT($A12)+ROUND('Critérios e pesos'!$C$36*1440,0)/1440,$A12)))</f>
        <v/>
      </c>
      <c r="AI12">
        <f>IF(AH12="","",ROUND(MOD(AH12,1)*1440,0))</f>
        <v/>
      </c>
      <c r="AJ12">
        <f>IF(T12="","",INDEX('Critérios e pesos'!$E$29:$E$32,MATCH(T12,'Critérios e pesos'!$A$29:$A$32,0)))</f>
        <v/>
      </c>
    </row>
    <row r="13">
      <c r="A13" s="13" t="n">
        <v>46275.35416666666</v>
      </c>
      <c r="B13" s="6" t="inlineStr">
        <is>
          <t>Sam R.</t>
        </is>
      </c>
      <c r="C13" s="6" t="inlineStr">
        <is>
          <t>Reyes Landscaping</t>
        </is>
      </c>
      <c r="D13" s="4" t="inlineStr">
        <is>
          <t>Telefone</t>
        </is>
      </c>
      <c r="E13" s="4" t="inlineStr">
        <is>
          <t>Claro</t>
        </is>
      </c>
      <c r="F13" s="4" t="inlineStr">
        <is>
          <t>Claro</t>
        </is>
      </c>
      <c r="G13" s="4" t="inlineStr">
        <is>
          <t>Claro</t>
        </is>
      </c>
      <c r="H13" s="4" t="inlineStr">
        <is>
          <t>Não disse</t>
        </is>
      </c>
      <c r="I13" s="4" t="inlineStr">
        <is>
          <t>Claro</t>
        </is>
      </c>
      <c r="J13" s="4" t="inlineStr">
        <is>
          <t>Claro</t>
        </is>
      </c>
      <c r="K13" s="4" t="inlineStr">
        <is>
          <t>Em parte</t>
        </is>
      </c>
      <c r="L13" s="4" t="inlineStr">
        <is>
          <t>Claro</t>
        </is>
      </c>
      <c r="M13" s="4" t="inlineStr">
        <is>
          <t>Em parte</t>
        </is>
      </c>
      <c r="N13" s="6" t="n"/>
      <c r="O13" s="6" t="n"/>
      <c r="P13" s="14">
        <f>IF($B13="","",(E13="Claro")*'Critérios e pesos'!$G$5+(E13="Em parte")*'Critérios e pesos'!$G$5/2+(F13="Claro")*'Critérios e pesos'!$G$6+(F13="Em parte")*'Critérios e pesos'!$G$6/2+(G13="Claro")*'Critérios e pesos'!$G$7+(G13="Em parte")*'Critérios e pesos'!$G$7/2+(H13="Claro")*'Critérios e pesos'!$G$8+(H13="Em parte")*'Critérios e pesos'!$G$8/2)</f>
        <v/>
      </c>
      <c r="Q13" s="14">
        <f>IF($B13="","",(I13="Claro")*'Critérios e pesos'!$G$9+(I13="Em parte")*'Critérios e pesos'!$G$9/2+(J13="Claro")*'Critérios e pesos'!$G$10+(J13="Em parte")*'Critérios e pesos'!$G$10/2+(K13="Claro")*'Critérios e pesos'!$G$11+(K13="Em parte")*'Critérios e pesos'!$G$11/2+(L13="Claro")*'Critérios e pesos'!$G$12+(L13="Em parte")*'Critérios e pesos'!$G$12/2+(M13="Claro")*'Critérios e pesos'!$G$13+(M13="Em parte")*'Critérios e pesos'!$G$13/2)</f>
        <v/>
      </c>
      <c r="R13" s="14">
        <f>IF($B13="","",IFERROR(VLOOKUP(N13,'Critérios e pesos'!$B$17:$C$20,2,FALSE),0))</f>
        <v/>
      </c>
      <c r="S13" s="9">
        <f>IF($B13="","",MAX(0,P13+Q13+R13))</f>
        <v/>
      </c>
      <c r="T13" s="9">
        <f>IF($B13="","",IF(O13&lt;&gt;"","X",IF(S13&gt;='Critérios e pesos'!$C$29,"A",IF(S13&gt;='Critérios e pesos'!$C$30,"B","C"))))</f>
        <v/>
      </c>
      <c r="U13" s="14">
        <f>IF(T13="","",INDEX('Critérios e pesos'!$D$29:$D$32,MATCH(T13,'Critérios e pesos'!$A$29:$A$32,0)))</f>
        <v/>
      </c>
      <c r="V13" s="14">
        <f>IF(T13="","",INDEX('Critérios e pesos'!$F$29:$F$32,MATCH(T13,'Critérios e pesos'!$A$29:$A$32,0)))</f>
        <v/>
      </c>
      <c r="W13" s="15">
        <f>IF(OR(AH13="",AJ13=""),"",IF(AI13+AJ13*60&lt;=ROUND('Critérios e pesos'!$C$37*1440,0),INT(AH13)+(AI13+AJ13*60)/1440,WORKDAY(INT(AH13),1+INT((AI13+AJ13*60-ROUND('Critérios e pesos'!$C$37*1440,0)-1)/(ROUND('Critérios e pesos'!$C$37*1440,0)-ROUND('Critérios e pesos'!$C$36*1440,0))))+(ROUND('Critérios e pesos'!$C$36*1440,0)+AI13+AJ13*60-ROUND('Critérios e pesos'!$C$37*1440,0)-INT((AI13+AJ13*60-ROUND('Critérios e pesos'!$C$37*1440,0)-1)/(ROUND('Critérios e pesos'!$C$37*1440,0)-ROUND('Critérios e pesos'!$C$36*1440,0)))*(ROUND('Critérios e pesos'!$C$37*1440,0)-ROUND('Critérios e pesos'!$C$36*1440,0)))/1440))</f>
        <v/>
      </c>
      <c r="X13" s="16" t="n">
        <v>46275.38333333333</v>
      </c>
      <c r="Y13" s="14">
        <f>IF(W13="","",IF(X13="",IF(NOW()&gt;W13,"Atrasado","Em espera"),IF(X13&lt;=W13,"No prazo","Atrasado")))</f>
        <v/>
      </c>
      <c r="Z13" s="17" t="n"/>
      <c r="AA13" s="14">
        <f>IF($B13="","",IF(OR(T13="X",AD13&lt;&gt;""),0,MAX(0,MIN(Q13,'Critérios e pesos'!$C$38*INT((TODAY()-IF(Z13&lt;&gt;"",Z13,INT($A13)))/7)))))</f>
        <v/>
      </c>
      <c r="AB13" s="14">
        <f>IF($B13="","",MAX(0,S13-AA13))</f>
        <v/>
      </c>
      <c r="AC13" s="9">
        <f>IF($B13="","",IF(T13="X","X",IF(AB13&gt;='Critérios e pesos'!$C$29,"A",IF(AB13&gt;='Critérios e pesos'!$C$30,"B","C"))))</f>
        <v/>
      </c>
      <c r="AD13" s="4" t="inlineStr">
        <is>
          <t>Ganho</t>
        </is>
      </c>
      <c r="AE13" s="18" t="n">
        <v>5400</v>
      </c>
      <c r="AF13" s="6" t="inlineStr">
        <is>
          <t>Usa software instalado no computador: migrar para o QuickBooks Online</t>
        </is>
      </c>
      <c r="AH13">
        <f>IF($A13="","",IF(OR(WEEKDAY($A13,2)&gt;5,ROUND(MOD($A13,1)*1440,0)&gt;=ROUND('Critérios e pesos'!$C$37*1440,0)),WORKDAY(INT($A13),1)+ROUND('Critérios e pesos'!$C$36*1440,0)/1440,IF(ROUND(MOD($A13,1)*1440,0)&lt;ROUND('Critérios e pesos'!$C$36*1440,0),INT($A13)+ROUND('Critérios e pesos'!$C$36*1440,0)/1440,$A13)))</f>
        <v/>
      </c>
      <c r="AI13">
        <f>IF(AH13="","",ROUND(MOD(AH13,1)*1440,0))</f>
        <v/>
      </c>
      <c r="AJ13">
        <f>IF(T13="","",INDEX('Critérios e pesos'!$E$29:$E$32,MATCH(T13,'Critérios e pesos'!$A$29:$A$32,0)))</f>
        <v/>
      </c>
    </row>
    <row r="14">
      <c r="A14" s="13" t="n">
        <v>46276.5</v>
      </c>
      <c r="B14" s="6" t="inlineStr">
        <is>
          <t>Elena P.</t>
        </is>
      </c>
      <c r="C14" s="6" t="inlineStr">
        <is>
          <t>Summit Yoga Co-op</t>
        </is>
      </c>
      <c r="D14" s="4" t="inlineStr">
        <is>
          <t>Chat do site</t>
        </is>
      </c>
      <c r="E14" s="4" t="inlineStr">
        <is>
          <t>Em parte</t>
        </is>
      </c>
      <c r="F14" s="4" t="inlineStr">
        <is>
          <t>Claro</t>
        </is>
      </c>
      <c r="G14" s="4" t="inlineStr">
        <is>
          <t>Claro</t>
        </is>
      </c>
      <c r="H14" s="4" t="inlineStr">
        <is>
          <t>Claro</t>
        </is>
      </c>
      <c r="I14" s="4" t="inlineStr">
        <is>
          <t>Em parte</t>
        </is>
      </c>
      <c r="J14" s="4" t="inlineStr">
        <is>
          <t>Em parte</t>
        </is>
      </c>
      <c r="K14" s="4" t="inlineStr">
        <is>
          <t>Não disse</t>
        </is>
      </c>
      <c r="L14" s="4" t="inlineStr">
        <is>
          <t>Em parte</t>
        </is>
      </c>
      <c r="M14" s="4" t="inlineStr">
        <is>
          <t>Em parte</t>
        </is>
      </c>
      <c r="N14" s="6" t="n"/>
      <c r="O14" s="6" t="n"/>
      <c r="P14" s="14">
        <f>IF($B14="","",(E14="Claro")*'Critérios e pesos'!$G$5+(E14="Em parte")*'Critérios e pesos'!$G$5/2+(F14="Claro")*'Critérios e pesos'!$G$6+(F14="Em parte")*'Critérios e pesos'!$G$6/2+(G14="Claro")*'Critérios e pesos'!$G$7+(G14="Em parte")*'Critérios e pesos'!$G$7/2+(H14="Claro")*'Critérios e pesos'!$G$8+(H14="Em parte")*'Critérios e pesos'!$G$8/2)</f>
        <v/>
      </c>
      <c r="Q14" s="14">
        <f>IF($B14="","",(I14="Claro")*'Critérios e pesos'!$G$9+(I14="Em parte")*'Critérios e pesos'!$G$9/2+(J14="Claro")*'Critérios e pesos'!$G$10+(J14="Em parte")*'Critérios e pesos'!$G$10/2+(K14="Claro")*'Critérios e pesos'!$G$11+(K14="Em parte")*'Critérios e pesos'!$G$11/2+(L14="Claro")*'Critérios e pesos'!$G$12+(L14="Em parte")*'Critérios e pesos'!$G$12/2+(M14="Claro")*'Critérios e pesos'!$G$13+(M14="Em parte")*'Critérios e pesos'!$G$13/2)</f>
        <v/>
      </c>
      <c r="R14" s="14">
        <f>IF($B14="","",IFERROR(VLOOKUP(N14,'Critérios e pesos'!$B$17:$C$20,2,FALSE),0))</f>
        <v/>
      </c>
      <c r="S14" s="9">
        <f>IF($B14="","",MAX(0,P14+Q14+R14))</f>
        <v/>
      </c>
      <c r="T14" s="9">
        <f>IF($B14="","",IF(O14&lt;&gt;"","X",IF(S14&gt;='Critérios e pesos'!$C$29,"A",IF(S14&gt;='Critérios e pesos'!$C$30,"B","C"))))</f>
        <v/>
      </c>
      <c r="U14" s="14">
        <f>IF(T14="","",INDEX('Critérios e pesos'!$D$29:$D$32,MATCH(T14,'Critérios e pesos'!$A$29:$A$32,0)))</f>
        <v/>
      </c>
      <c r="V14" s="14">
        <f>IF(T14="","",INDEX('Critérios e pesos'!$F$29:$F$32,MATCH(T14,'Critérios e pesos'!$A$29:$A$32,0)))</f>
        <v/>
      </c>
      <c r="W14" s="15">
        <f>IF(OR(AH14="",AJ14=""),"",IF(AI14+AJ14*60&lt;=ROUND('Critérios e pesos'!$C$37*1440,0),INT(AH14)+(AI14+AJ14*60)/1440,WORKDAY(INT(AH14),1+INT((AI14+AJ14*60-ROUND('Critérios e pesos'!$C$37*1440,0)-1)/(ROUND('Critérios e pesos'!$C$37*1440,0)-ROUND('Critérios e pesos'!$C$36*1440,0))))+(ROUND('Critérios e pesos'!$C$36*1440,0)+AI14+AJ14*60-ROUND('Critérios e pesos'!$C$37*1440,0)-INT((AI14+AJ14*60-ROUND('Critérios e pesos'!$C$37*1440,0)-1)/(ROUND('Critérios e pesos'!$C$37*1440,0)-ROUND('Critérios e pesos'!$C$36*1440,0)))*(ROUND('Critérios e pesos'!$C$37*1440,0)-ROUND('Critérios e pesos'!$C$36*1440,0)))/1440))</f>
        <v/>
      </c>
      <c r="X14" s="16" t="n">
        <v>46276.59027777778</v>
      </c>
      <c r="Y14" s="14">
        <f>IF(W14="","",IF(X14="",IF(NOW()&gt;W14,"Atrasado","Em espera"),IF(X14&lt;=W14,"No prazo","Atrasado")))</f>
        <v/>
      </c>
      <c r="Z14" s="17" t="n"/>
      <c r="AA14" s="14">
        <f>IF($B14="","",IF(OR(T14="X",AD14&lt;&gt;""),0,MAX(0,MIN(Q14,'Critérios e pesos'!$C$38*INT((TODAY()-IF(Z14&lt;&gt;"",Z14,INT($A14)))/7)))))</f>
        <v/>
      </c>
      <c r="AB14" s="14">
        <f>IF($B14="","",MAX(0,S14-AA14))</f>
        <v/>
      </c>
      <c r="AC14" s="9">
        <f>IF($B14="","",IF(T14="X","X",IF(AB14&gt;='Critérios e pesos'!$C$29,"A",IF(AB14&gt;='Critérios e pesos'!$C$30,"B","C"))))</f>
        <v/>
      </c>
      <c r="AD14" s="4" t="inlineStr">
        <is>
          <t>Perdido</t>
        </is>
      </c>
      <c r="AE14" s="18" t="n"/>
      <c r="AF14" s="6" t="n"/>
      <c r="AH14">
        <f>IF($A14="","",IF(OR(WEEKDAY($A14,2)&gt;5,ROUND(MOD($A14,1)*1440,0)&gt;=ROUND('Critérios e pesos'!$C$37*1440,0)),WORKDAY(INT($A14),1)+ROUND('Critérios e pesos'!$C$36*1440,0)/1440,IF(ROUND(MOD($A14,1)*1440,0)&lt;ROUND('Critérios e pesos'!$C$36*1440,0),INT($A14)+ROUND('Critérios e pesos'!$C$36*1440,0)/1440,$A14)))</f>
        <v/>
      </c>
      <c r="AI14">
        <f>IF(AH14="","",ROUND(MOD(AH14,1)*1440,0))</f>
        <v/>
      </c>
      <c r="AJ14">
        <f>IF(T14="","",INDEX('Critérios e pesos'!$E$29:$E$32,MATCH(T14,'Critérios e pesos'!$A$29:$A$32,0)))</f>
        <v/>
      </c>
    </row>
    <row r="15">
      <c r="A15" s="13" t="n">
        <v>46279.44791666666</v>
      </c>
      <c r="B15" s="6" t="inlineStr">
        <is>
          <t>Mark D.</t>
        </is>
      </c>
      <c r="C15" s="6" t="inlineStr">
        <is>
          <t>Dunn Auto Body</t>
        </is>
      </c>
      <c r="D15" s="4" t="inlineStr">
        <is>
          <t>Formulário web</t>
        </is>
      </c>
      <c r="E15" s="4" t="inlineStr">
        <is>
          <t>Claro</t>
        </is>
      </c>
      <c r="F15" s="4" t="inlineStr">
        <is>
          <t>Claro</t>
        </is>
      </c>
      <c r="G15" s="4" t="inlineStr">
        <is>
          <t>Em parte</t>
        </is>
      </c>
      <c r="H15" s="4" t="inlineStr">
        <is>
          <t>Claro</t>
        </is>
      </c>
      <c r="I15" s="4" t="inlineStr">
        <is>
          <t>Claro</t>
        </is>
      </c>
      <c r="J15" s="4" t="inlineStr">
        <is>
          <t>Em parte</t>
        </is>
      </c>
      <c r="K15" s="4" t="inlineStr">
        <is>
          <t>Em parte</t>
        </is>
      </c>
      <c r="L15" s="4" t="inlineStr">
        <is>
          <t>Não disse</t>
        </is>
      </c>
      <c r="M15" s="4" t="inlineStr">
        <is>
          <t>Em parte</t>
        </is>
      </c>
      <c r="N15" s="6" t="n"/>
      <c r="O15" s="6" t="n"/>
      <c r="P15" s="14">
        <f>IF($B15="","",(E15="Claro")*'Critérios e pesos'!$G$5+(E15="Em parte")*'Critérios e pesos'!$G$5/2+(F15="Claro")*'Critérios e pesos'!$G$6+(F15="Em parte")*'Critérios e pesos'!$G$6/2+(G15="Claro")*'Critérios e pesos'!$G$7+(G15="Em parte")*'Critérios e pesos'!$G$7/2+(H15="Claro")*'Critérios e pesos'!$G$8+(H15="Em parte")*'Critérios e pesos'!$G$8/2)</f>
        <v/>
      </c>
      <c r="Q15" s="14">
        <f>IF($B15="","",(I15="Claro")*'Critérios e pesos'!$G$9+(I15="Em parte")*'Critérios e pesos'!$G$9/2+(J15="Claro")*'Critérios e pesos'!$G$10+(J15="Em parte")*'Critérios e pesos'!$G$10/2+(K15="Claro")*'Critérios e pesos'!$G$11+(K15="Em parte")*'Critérios e pesos'!$G$11/2+(L15="Claro")*'Critérios e pesos'!$G$12+(L15="Em parte")*'Critérios e pesos'!$G$12/2+(M15="Claro")*'Critérios e pesos'!$G$13+(M15="Em parte")*'Critérios e pesos'!$G$13/2)</f>
        <v/>
      </c>
      <c r="R15" s="14">
        <f>IF($B15="","",IFERROR(VLOOKUP(N15,'Critérios e pesos'!$B$17:$C$20,2,FALSE),0))</f>
        <v/>
      </c>
      <c r="S15" s="9">
        <f>IF($B15="","",MAX(0,P15+Q15+R15))</f>
        <v/>
      </c>
      <c r="T15" s="9">
        <f>IF($B15="","",IF(O15&lt;&gt;"","X",IF(S15&gt;='Critérios e pesos'!$C$29,"A",IF(S15&gt;='Critérios e pesos'!$C$30,"B","C"))))</f>
        <v/>
      </c>
      <c r="U15" s="14">
        <f>IF(T15="","",INDEX('Critérios e pesos'!$D$29:$D$32,MATCH(T15,'Critérios e pesos'!$A$29:$A$32,0)))</f>
        <v/>
      </c>
      <c r="V15" s="14">
        <f>IF(T15="","",INDEX('Critérios e pesos'!$F$29:$F$32,MATCH(T15,'Critérios e pesos'!$A$29:$A$32,0)))</f>
        <v/>
      </c>
      <c r="W15" s="15">
        <f>IF(OR(AH15="",AJ15=""),"",IF(AI15+AJ15*60&lt;=ROUND('Critérios e pesos'!$C$37*1440,0),INT(AH15)+(AI15+AJ15*60)/1440,WORKDAY(INT(AH15),1+INT((AI15+AJ15*60-ROUND('Critérios e pesos'!$C$37*1440,0)-1)/(ROUND('Critérios e pesos'!$C$37*1440,0)-ROUND('Critérios e pesos'!$C$36*1440,0))))+(ROUND('Critérios e pesos'!$C$36*1440,0)+AI15+AJ15*60-ROUND('Critérios e pesos'!$C$37*1440,0)-INT((AI15+AJ15*60-ROUND('Critérios e pesos'!$C$37*1440,0)-1)/(ROUND('Critérios e pesos'!$C$37*1440,0)-ROUND('Critérios e pesos'!$C$36*1440,0)))*(ROUND('Critérios e pesos'!$C$37*1440,0)-ROUND('Critérios e pesos'!$C$36*1440,0)))/1440))</f>
        <v/>
      </c>
      <c r="X15" s="16" t="n">
        <v>46279.5625</v>
      </c>
      <c r="Y15" s="14">
        <f>IF(W15="","",IF(X15="",IF(NOW()&gt;W15,"Atrasado","Em espera"),IF(X15&lt;=W15,"No prazo","Atrasado")))</f>
        <v/>
      </c>
      <c r="Z15" s="17" t="n"/>
      <c r="AA15" s="14">
        <f>IF($B15="","",IF(OR(T15="X",AD15&lt;&gt;""),0,MAX(0,MIN(Q15,'Critérios e pesos'!$C$38*INT((TODAY()-IF(Z15&lt;&gt;"",Z15,INT($A15)))/7)))))</f>
        <v/>
      </c>
      <c r="AB15" s="14">
        <f>IF($B15="","",MAX(0,S15-AA15))</f>
        <v/>
      </c>
      <c r="AC15" s="9">
        <f>IF($B15="","",IF(T15="X","X",IF(AB15&gt;='Critérios e pesos'!$C$29,"A",IF(AB15&gt;='Critérios e pesos'!$C$30,"B","C"))))</f>
        <v/>
      </c>
      <c r="AD15" s="4" t="inlineStr">
        <is>
          <t>Perdido</t>
        </is>
      </c>
      <c r="AE15" s="18" t="n"/>
      <c r="AF15" s="6" t="n"/>
      <c r="AH15">
        <f>IF($A15="","",IF(OR(WEEKDAY($A15,2)&gt;5,ROUND(MOD($A15,1)*1440,0)&gt;=ROUND('Critérios e pesos'!$C$37*1440,0)),WORKDAY(INT($A15),1)+ROUND('Critérios e pesos'!$C$36*1440,0)/1440,IF(ROUND(MOD($A15,1)*1440,0)&lt;ROUND('Critérios e pesos'!$C$36*1440,0),INT($A15)+ROUND('Critérios e pesos'!$C$36*1440,0)/1440,$A15)))</f>
        <v/>
      </c>
      <c r="AI15">
        <f>IF(AH15="","",ROUND(MOD(AH15,1)*1440,0))</f>
        <v/>
      </c>
      <c r="AJ15">
        <f>IF(T15="","",INDEX('Critérios e pesos'!$E$29:$E$32,MATCH(T15,'Critérios e pesos'!$A$29:$A$32,0)))</f>
        <v/>
      </c>
    </row>
    <row r="16">
      <c r="A16" s="13" t="n">
        <v>46279.63194444445</v>
      </c>
      <c r="B16" s="6" t="inlineStr">
        <is>
          <t>Tessa M.</t>
        </is>
      </c>
      <c r="C16" s="6" t="inlineStr">
        <is>
          <t>Moore &amp; Lane Law</t>
        </is>
      </c>
      <c r="D16" s="4" t="inlineStr">
        <is>
          <t>Recomendação</t>
        </is>
      </c>
      <c r="E16" s="4" t="inlineStr">
        <is>
          <t>Claro</t>
        </is>
      </c>
      <c r="F16" s="4" t="inlineStr">
        <is>
          <t>Claro</t>
        </is>
      </c>
      <c r="G16" s="4" t="inlineStr">
        <is>
          <t>Claro</t>
        </is>
      </c>
      <c r="H16" s="4" t="inlineStr">
        <is>
          <t>Claro</t>
        </is>
      </c>
      <c r="I16" s="4" t="inlineStr">
        <is>
          <t>Claro</t>
        </is>
      </c>
      <c r="J16" s="4" t="inlineStr">
        <is>
          <t>Claro</t>
        </is>
      </c>
      <c r="K16" s="4" t="inlineStr">
        <is>
          <t>Claro</t>
        </is>
      </c>
      <c r="L16" s="4" t="inlineStr">
        <is>
          <t>Claro</t>
        </is>
      </c>
      <c r="M16" s="4" t="inlineStr">
        <is>
          <t>Claro</t>
        </is>
      </c>
      <c r="N16" s="6" t="n"/>
      <c r="O16" s="6" t="n"/>
      <c r="P16" s="14">
        <f>IF($B16="","",(E16="Claro")*'Critérios e pesos'!$G$5+(E16="Em parte")*'Critérios e pesos'!$G$5/2+(F16="Claro")*'Critérios e pesos'!$G$6+(F16="Em parte")*'Critérios e pesos'!$G$6/2+(G16="Claro")*'Critérios e pesos'!$G$7+(G16="Em parte")*'Critérios e pesos'!$G$7/2+(H16="Claro")*'Critérios e pesos'!$G$8+(H16="Em parte")*'Critérios e pesos'!$G$8/2)</f>
        <v/>
      </c>
      <c r="Q16" s="14">
        <f>IF($B16="","",(I16="Claro")*'Critérios e pesos'!$G$9+(I16="Em parte")*'Critérios e pesos'!$G$9/2+(J16="Claro")*'Critérios e pesos'!$G$10+(J16="Em parte")*'Critérios e pesos'!$G$10/2+(K16="Claro")*'Critérios e pesos'!$G$11+(K16="Em parte")*'Critérios e pesos'!$G$11/2+(L16="Claro")*'Critérios e pesos'!$G$12+(L16="Em parte")*'Critérios e pesos'!$G$12/2+(M16="Claro")*'Critérios e pesos'!$G$13+(M16="Em parte")*'Critérios e pesos'!$G$13/2)</f>
        <v/>
      </c>
      <c r="R16" s="14">
        <f>IF($B16="","",IFERROR(VLOOKUP(N16,'Critérios e pesos'!$B$17:$C$20,2,FALSE),0))</f>
        <v/>
      </c>
      <c r="S16" s="9">
        <f>IF($B16="","",MAX(0,P16+Q16+R16))</f>
        <v/>
      </c>
      <c r="T16" s="9">
        <f>IF($B16="","",IF(O16&lt;&gt;"","X",IF(S16&gt;='Critérios e pesos'!$C$29,"A",IF(S16&gt;='Critérios e pesos'!$C$30,"B","C"))))</f>
        <v/>
      </c>
      <c r="U16" s="14">
        <f>IF(T16="","",INDEX('Critérios e pesos'!$D$29:$D$32,MATCH(T16,'Critérios e pesos'!$A$29:$A$32,0)))</f>
        <v/>
      </c>
      <c r="V16" s="14">
        <f>IF(T16="","",INDEX('Critérios e pesos'!$F$29:$F$32,MATCH(T16,'Critérios e pesos'!$A$29:$A$32,0)))</f>
        <v/>
      </c>
      <c r="W16" s="15">
        <f>IF(OR(AH16="",AJ16=""),"",IF(AI16+AJ16*60&lt;=ROUND('Critérios e pesos'!$C$37*1440,0),INT(AH16)+(AI16+AJ16*60)/1440,WORKDAY(INT(AH16),1+INT((AI16+AJ16*60-ROUND('Critérios e pesos'!$C$37*1440,0)-1)/(ROUND('Critérios e pesos'!$C$37*1440,0)-ROUND('Critérios e pesos'!$C$36*1440,0))))+(ROUND('Critérios e pesos'!$C$36*1440,0)+AI16+AJ16*60-ROUND('Critérios e pesos'!$C$37*1440,0)-INT((AI16+AJ16*60-ROUND('Critérios e pesos'!$C$37*1440,0)-1)/(ROUND('Critérios e pesos'!$C$37*1440,0)-ROUND('Critérios e pesos'!$C$36*1440,0)))*(ROUND('Critérios e pesos'!$C$37*1440,0)-ROUND('Critérios e pesos'!$C$36*1440,0)))/1440))</f>
        <v/>
      </c>
      <c r="X16" s="16" t="n">
        <v>46279.65277777778</v>
      </c>
      <c r="Y16" s="14">
        <f>IF(W16="","",IF(X16="",IF(NOW()&gt;W16,"Atrasado","Em espera"),IF(X16&lt;=W16,"No prazo","Atrasado")))</f>
        <v/>
      </c>
      <c r="Z16" s="17" t="n"/>
      <c r="AA16" s="14">
        <f>IF($B16="","",IF(OR(T16="X",AD16&lt;&gt;""),0,MAX(0,MIN(Q16,'Critérios e pesos'!$C$38*INT((TODAY()-IF(Z16&lt;&gt;"",Z16,INT($A16)))/7)))))</f>
        <v/>
      </c>
      <c r="AB16" s="14">
        <f>IF($B16="","",MAX(0,S16-AA16))</f>
        <v/>
      </c>
      <c r="AC16" s="9">
        <f>IF($B16="","",IF(T16="X","X",IF(AB16&gt;='Critérios e pesos'!$C$29,"A",IF(AB16&gt;='Critérios e pesos'!$C$30,"B","C"))))</f>
        <v/>
      </c>
      <c r="AD16" s="4" t="inlineStr">
        <is>
          <t>Ganho</t>
        </is>
      </c>
      <c r="AE16" s="18" t="n">
        <v>8400</v>
      </c>
      <c r="AF16" s="6" t="n"/>
      <c r="AH16">
        <f>IF($A16="","",IF(OR(WEEKDAY($A16,2)&gt;5,ROUND(MOD($A16,1)*1440,0)&gt;=ROUND('Critérios e pesos'!$C$37*1440,0)),WORKDAY(INT($A16),1)+ROUND('Critérios e pesos'!$C$36*1440,0)/1440,IF(ROUND(MOD($A16,1)*1440,0)&lt;ROUND('Critérios e pesos'!$C$36*1440,0),INT($A16)+ROUND('Critérios e pesos'!$C$36*1440,0)/1440,$A16)))</f>
        <v/>
      </c>
      <c r="AI16">
        <f>IF(AH16="","",ROUND(MOD(AH16,1)*1440,0))</f>
        <v/>
      </c>
      <c r="AJ16">
        <f>IF(T16="","",INDEX('Critérios e pesos'!$E$29:$E$32,MATCH(T16,'Critérios e pesos'!$A$29:$A$32,0)))</f>
        <v/>
      </c>
    </row>
    <row r="17">
      <c r="A17" s="13" t="n">
        <v>46280.40972222222</v>
      </c>
      <c r="B17" s="6" t="inlineStr">
        <is>
          <t>Kevin B.</t>
        </is>
      </c>
      <c r="C17" s="6" t="inlineStr">
        <is>
          <t>Bright Pixel Media</t>
        </is>
      </c>
      <c r="D17" s="4" t="inlineStr">
        <is>
          <t>Chat do site</t>
        </is>
      </c>
      <c r="E17" s="4" t="inlineStr">
        <is>
          <t>Em parte</t>
        </is>
      </c>
      <c r="F17" s="4" t="inlineStr">
        <is>
          <t>Em parte</t>
        </is>
      </c>
      <c r="G17" s="4" t="inlineStr">
        <is>
          <t>Claro</t>
        </is>
      </c>
      <c r="H17" s="4" t="inlineStr">
        <is>
          <t>Claro</t>
        </is>
      </c>
      <c r="I17" s="4" t="inlineStr">
        <is>
          <t>Em parte</t>
        </is>
      </c>
      <c r="J17" s="4" t="inlineStr">
        <is>
          <t>Não disse</t>
        </is>
      </c>
      <c r="K17" s="4" t="inlineStr">
        <is>
          <t>Não disse</t>
        </is>
      </c>
      <c r="L17" s="4" t="inlineStr">
        <is>
          <t>Em parte</t>
        </is>
      </c>
      <c r="M17" s="4" t="inlineStr">
        <is>
          <t>Não disse</t>
        </is>
      </c>
      <c r="N17" s="6" t="inlineStr">
        <is>
          <t>Início daqui a mais de 6 meses</t>
        </is>
      </c>
      <c r="O17" s="6" t="n"/>
      <c r="P17" s="14">
        <f>IF($B17="","",(E17="Claro")*'Critérios e pesos'!$G$5+(E17="Em parte")*'Critérios e pesos'!$G$5/2+(F17="Claro")*'Critérios e pesos'!$G$6+(F17="Em parte")*'Critérios e pesos'!$G$6/2+(G17="Claro")*'Critérios e pesos'!$G$7+(G17="Em parte")*'Critérios e pesos'!$G$7/2+(H17="Claro")*'Critérios e pesos'!$G$8+(H17="Em parte")*'Critérios e pesos'!$G$8/2)</f>
        <v/>
      </c>
      <c r="Q17" s="14">
        <f>IF($B17="","",(I17="Claro")*'Critérios e pesos'!$G$9+(I17="Em parte")*'Critérios e pesos'!$G$9/2+(J17="Claro")*'Critérios e pesos'!$G$10+(J17="Em parte")*'Critérios e pesos'!$G$10/2+(K17="Claro")*'Critérios e pesos'!$G$11+(K17="Em parte")*'Critérios e pesos'!$G$11/2+(L17="Claro")*'Critérios e pesos'!$G$12+(L17="Em parte")*'Critérios e pesos'!$G$12/2+(M17="Claro")*'Critérios e pesos'!$G$13+(M17="Em parte")*'Critérios e pesos'!$G$13/2)</f>
        <v/>
      </c>
      <c r="R17" s="14">
        <f>IF($B17="","",IFERROR(VLOOKUP(N17,'Critérios e pesos'!$B$17:$C$20,2,FALSE),0))</f>
        <v/>
      </c>
      <c r="S17" s="9">
        <f>IF($B17="","",MAX(0,P17+Q17+R17))</f>
        <v/>
      </c>
      <c r="T17" s="9">
        <f>IF($B17="","",IF(O17&lt;&gt;"","X",IF(S17&gt;='Critérios e pesos'!$C$29,"A",IF(S17&gt;='Critérios e pesos'!$C$30,"B","C"))))</f>
        <v/>
      </c>
      <c r="U17" s="14">
        <f>IF(T17="","",INDEX('Critérios e pesos'!$D$29:$D$32,MATCH(T17,'Critérios e pesos'!$A$29:$A$32,0)))</f>
        <v/>
      </c>
      <c r="V17" s="14">
        <f>IF(T17="","",INDEX('Critérios e pesos'!$F$29:$F$32,MATCH(T17,'Critérios e pesos'!$A$29:$A$32,0)))</f>
        <v/>
      </c>
      <c r="W17" s="15">
        <f>IF(OR(AH17="",AJ17=""),"",IF(AI17+AJ17*60&lt;=ROUND('Critérios e pesos'!$C$37*1440,0),INT(AH17)+(AI17+AJ17*60)/1440,WORKDAY(INT(AH17),1+INT((AI17+AJ17*60-ROUND('Critérios e pesos'!$C$37*1440,0)-1)/(ROUND('Critérios e pesos'!$C$37*1440,0)-ROUND('Critérios e pesos'!$C$36*1440,0))))+(ROUND('Critérios e pesos'!$C$36*1440,0)+AI17+AJ17*60-ROUND('Critérios e pesos'!$C$37*1440,0)-INT((AI17+AJ17*60-ROUND('Critérios e pesos'!$C$37*1440,0)-1)/(ROUND('Critérios e pesos'!$C$37*1440,0)-ROUND('Critérios e pesos'!$C$36*1440,0)))*(ROUND('Critérios e pesos'!$C$37*1440,0)-ROUND('Critérios e pesos'!$C$36*1440,0)))/1440))</f>
        <v/>
      </c>
      <c r="X17" s="16" t="n">
        <v>46281.39583333334</v>
      </c>
      <c r="Y17" s="14">
        <f>IF(W17="","",IF(X17="",IF(NOW()&gt;W17,"Atrasado","Em espera"),IF(X17&lt;=W17,"No prazo","Atrasado")))</f>
        <v/>
      </c>
      <c r="Z17" s="17" t="n"/>
      <c r="AA17" s="14">
        <f>IF($B17="","",IF(OR(T17="X",AD17&lt;&gt;""),0,MAX(0,MIN(Q17,'Critérios e pesos'!$C$38*INT((TODAY()-IF(Z17&lt;&gt;"",Z17,INT($A17)))/7)))))</f>
        <v/>
      </c>
      <c r="AB17" s="14">
        <f>IF($B17="","",MAX(0,S17-AA17))</f>
        <v/>
      </c>
      <c r="AC17" s="9">
        <f>IF($B17="","",IF(T17="X","X",IF(AB17&gt;='Critérios e pesos'!$C$29,"A",IF(AB17&gt;='Critérios e pesos'!$C$30,"B","C"))))</f>
        <v/>
      </c>
      <c r="AD17" s="4" t="inlineStr">
        <is>
          <t>Perdido</t>
        </is>
      </c>
      <c r="AE17" s="18" t="n"/>
      <c r="AF17" s="6" t="n"/>
      <c r="AH17">
        <f>IF($A17="","",IF(OR(WEEKDAY($A17,2)&gt;5,ROUND(MOD($A17,1)*1440,0)&gt;=ROUND('Critérios e pesos'!$C$37*1440,0)),WORKDAY(INT($A17),1)+ROUND('Critérios e pesos'!$C$36*1440,0)/1440,IF(ROUND(MOD($A17,1)*1440,0)&lt;ROUND('Critérios e pesos'!$C$36*1440,0),INT($A17)+ROUND('Critérios e pesos'!$C$36*1440,0)/1440,$A17)))</f>
        <v/>
      </c>
      <c r="AI17">
        <f>IF(AH17="","",ROUND(MOD(AH17,1)*1440,0))</f>
        <v/>
      </c>
      <c r="AJ17">
        <f>IF(T17="","",INDEX('Critérios e pesos'!$E$29:$E$32,MATCH(T17,'Critérios e pesos'!$A$29:$A$32,0)))</f>
        <v/>
      </c>
    </row>
    <row r="18">
      <c r="A18" s="13" t="n">
        <v>46281.47916666666</v>
      </c>
      <c r="B18" s="6" t="inlineStr">
        <is>
          <t>Nadia K.</t>
        </is>
      </c>
      <c r="C18" s="6" t="n"/>
      <c r="D18" s="4" t="inlineStr">
        <is>
          <t>Chat do site</t>
        </is>
      </c>
      <c r="E18" s="4" t="inlineStr">
        <is>
          <t>Não disse</t>
        </is>
      </c>
      <c r="F18" s="4" t="inlineStr">
        <is>
          <t>Claro</t>
        </is>
      </c>
      <c r="G18" s="4" t="inlineStr">
        <is>
          <t>Não disse</t>
        </is>
      </c>
      <c r="H18" s="4" t="inlineStr">
        <is>
          <t>Não disse</t>
        </is>
      </c>
      <c r="I18" s="4" t="inlineStr">
        <is>
          <t>Não disse</t>
        </is>
      </c>
      <c r="J18" s="4" t="inlineStr">
        <is>
          <t>Não disse</t>
        </is>
      </c>
      <c r="K18" s="4" t="inlineStr">
        <is>
          <t>Não disse</t>
        </is>
      </c>
      <c r="L18" s="4" t="inlineStr">
        <is>
          <t>Não disse</t>
        </is>
      </c>
      <c r="M18" s="4" t="inlineStr">
        <is>
          <t>Não disse</t>
        </is>
      </c>
      <c r="N18" s="6" t="n"/>
      <c r="O18" s="6" t="inlineStr">
        <is>
          <t>Só declarações de impostos pessoais</t>
        </is>
      </c>
      <c r="P18" s="14">
        <f>IF($B18="","",(E18="Claro")*'Critérios e pesos'!$G$5+(E18="Em parte")*'Critérios e pesos'!$G$5/2+(F18="Claro")*'Critérios e pesos'!$G$6+(F18="Em parte")*'Critérios e pesos'!$G$6/2+(G18="Claro")*'Critérios e pesos'!$G$7+(G18="Em parte")*'Critérios e pesos'!$G$7/2+(H18="Claro")*'Critérios e pesos'!$G$8+(H18="Em parte")*'Critérios e pesos'!$G$8/2)</f>
        <v/>
      </c>
      <c r="Q18" s="14">
        <f>IF($B18="","",(I18="Claro")*'Critérios e pesos'!$G$9+(I18="Em parte")*'Critérios e pesos'!$G$9/2+(J18="Claro")*'Critérios e pesos'!$G$10+(J18="Em parte")*'Critérios e pesos'!$G$10/2+(K18="Claro")*'Critérios e pesos'!$G$11+(K18="Em parte")*'Critérios e pesos'!$G$11/2+(L18="Claro")*'Critérios e pesos'!$G$12+(L18="Em parte")*'Critérios e pesos'!$G$12/2+(M18="Claro")*'Critérios e pesos'!$G$13+(M18="Em parte")*'Critérios e pesos'!$G$13/2)</f>
        <v/>
      </c>
      <c r="R18" s="14">
        <f>IF($B18="","",IFERROR(VLOOKUP(N18,'Critérios e pesos'!$B$17:$C$20,2,FALSE),0))</f>
        <v/>
      </c>
      <c r="S18" s="9">
        <f>IF($B18="","",MAX(0,P18+Q18+R18))</f>
        <v/>
      </c>
      <c r="T18" s="9">
        <f>IF($B18="","",IF(O18&lt;&gt;"","X",IF(S18&gt;='Critérios e pesos'!$C$29,"A",IF(S18&gt;='Critérios e pesos'!$C$30,"B","C"))))</f>
        <v/>
      </c>
      <c r="U18" s="14">
        <f>IF(T18="","",INDEX('Critérios e pesos'!$D$29:$D$32,MATCH(T18,'Critérios e pesos'!$A$29:$A$32,0)))</f>
        <v/>
      </c>
      <c r="V18" s="14">
        <f>IF(T18="","",INDEX('Critérios e pesos'!$F$29:$F$32,MATCH(T18,'Critérios e pesos'!$A$29:$A$32,0)))</f>
        <v/>
      </c>
      <c r="W18" s="15">
        <f>IF(OR(AH18="",AJ18=""),"",IF(AI18+AJ18*60&lt;=ROUND('Critérios e pesos'!$C$37*1440,0),INT(AH18)+(AI18+AJ18*60)/1440,WORKDAY(INT(AH18),1+INT((AI18+AJ18*60-ROUND('Critérios e pesos'!$C$37*1440,0)-1)/(ROUND('Critérios e pesos'!$C$37*1440,0)-ROUND('Critérios e pesos'!$C$36*1440,0))))+(ROUND('Critérios e pesos'!$C$36*1440,0)+AI18+AJ18*60-ROUND('Critérios e pesos'!$C$37*1440,0)-INT((AI18+AJ18*60-ROUND('Critérios e pesos'!$C$37*1440,0)-1)/(ROUND('Critérios e pesos'!$C$37*1440,0)-ROUND('Critérios e pesos'!$C$36*1440,0)))*(ROUND('Critérios e pesos'!$C$37*1440,0)-ROUND('Critérios e pesos'!$C$36*1440,0)))/1440))</f>
        <v/>
      </c>
      <c r="X18" s="16" t="n">
        <v>46282.38541666666</v>
      </c>
      <c r="Y18" s="14">
        <f>IF(W18="","",IF(X18="",IF(NOW()&gt;W18,"Atrasado","Em espera"),IF(X18&lt;=W18,"No prazo","Atrasado")))</f>
        <v/>
      </c>
      <c r="Z18" s="17" t="n"/>
      <c r="AA18" s="14">
        <f>IF($B18="","",IF(OR(T18="X",AD18&lt;&gt;""),0,MAX(0,MIN(Q18,'Critérios e pesos'!$C$38*INT((TODAY()-IF(Z18&lt;&gt;"",Z18,INT($A18)))/7)))))</f>
        <v/>
      </c>
      <c r="AB18" s="14">
        <f>IF($B18="","",MAX(0,S18-AA18))</f>
        <v/>
      </c>
      <c r="AC18" s="9">
        <f>IF($B18="","",IF(T18="X","X",IF(AB18&gt;='Critérios e pesos'!$C$29,"A",IF(AB18&gt;='Critérios e pesos'!$C$30,"B","C"))))</f>
        <v/>
      </c>
      <c r="AD18" s="4" t="n"/>
      <c r="AE18" s="18" t="n"/>
      <c r="AF18" s="6" t="inlineStr">
        <is>
          <t>Só uma declaração de impostos pessoal</t>
        </is>
      </c>
      <c r="AH18">
        <f>IF($A18="","",IF(OR(WEEKDAY($A18,2)&gt;5,ROUND(MOD($A18,1)*1440,0)&gt;=ROUND('Critérios e pesos'!$C$37*1440,0)),WORKDAY(INT($A18),1)+ROUND('Critérios e pesos'!$C$36*1440,0)/1440,IF(ROUND(MOD($A18,1)*1440,0)&lt;ROUND('Critérios e pesos'!$C$36*1440,0),INT($A18)+ROUND('Critérios e pesos'!$C$36*1440,0)/1440,$A18)))</f>
        <v/>
      </c>
      <c r="AI18">
        <f>IF(AH18="","",ROUND(MOD(AH18,1)*1440,0))</f>
        <v/>
      </c>
      <c r="AJ18">
        <f>IF(T18="","",INDEX('Critérios e pesos'!$E$29:$E$32,MATCH(T18,'Critérios e pesos'!$A$29:$A$32,0)))</f>
        <v/>
      </c>
    </row>
    <row r="19">
      <c r="A19" s="13" t="n">
        <v>46282.58680555555</v>
      </c>
      <c r="B19" s="6" t="inlineStr">
        <is>
          <t>Felix W.</t>
        </is>
      </c>
      <c r="C19" s="6" t="inlineStr">
        <is>
          <t>Wong Family Grocers</t>
        </is>
      </c>
      <c r="D19" s="4" t="inlineStr">
        <is>
          <t>Formulário web</t>
        </is>
      </c>
      <c r="E19" s="4" t="inlineStr">
        <is>
          <t>Claro</t>
        </is>
      </c>
      <c r="F19" s="4" t="inlineStr">
        <is>
          <t>Claro</t>
        </is>
      </c>
      <c r="G19" s="4" t="inlineStr">
        <is>
          <t>Claro</t>
        </is>
      </c>
      <c r="H19" s="4" t="inlineStr">
        <is>
          <t>Não disse</t>
        </is>
      </c>
      <c r="I19" s="4" t="inlineStr">
        <is>
          <t>Claro</t>
        </is>
      </c>
      <c r="J19" s="4" t="inlineStr">
        <is>
          <t>Em parte</t>
        </is>
      </c>
      <c r="K19" s="4" t="inlineStr">
        <is>
          <t>Em parte</t>
        </is>
      </c>
      <c r="L19" s="4" t="inlineStr">
        <is>
          <t>Em parte</t>
        </is>
      </c>
      <c r="M19" s="4" t="inlineStr">
        <is>
          <t>Não disse</t>
        </is>
      </c>
      <c r="N19" s="6" t="n"/>
      <c r="O19" s="6" t="n"/>
      <c r="P19" s="14">
        <f>IF($B19="","",(E19="Claro")*'Critérios e pesos'!$G$5+(E19="Em parte")*'Critérios e pesos'!$G$5/2+(F19="Claro")*'Critérios e pesos'!$G$6+(F19="Em parte")*'Critérios e pesos'!$G$6/2+(G19="Claro")*'Critérios e pesos'!$G$7+(G19="Em parte")*'Critérios e pesos'!$G$7/2+(H19="Claro")*'Critérios e pesos'!$G$8+(H19="Em parte")*'Critérios e pesos'!$G$8/2)</f>
        <v/>
      </c>
      <c r="Q19" s="14">
        <f>IF($B19="","",(I19="Claro")*'Critérios e pesos'!$G$9+(I19="Em parte")*'Critérios e pesos'!$G$9/2+(J19="Claro")*'Critérios e pesos'!$G$10+(J19="Em parte")*'Critérios e pesos'!$G$10/2+(K19="Claro")*'Critérios e pesos'!$G$11+(K19="Em parte")*'Critérios e pesos'!$G$11/2+(L19="Claro")*'Critérios e pesos'!$G$12+(L19="Em parte")*'Critérios e pesos'!$G$12/2+(M19="Claro")*'Critérios e pesos'!$G$13+(M19="Em parte")*'Critérios e pesos'!$G$13/2)</f>
        <v/>
      </c>
      <c r="R19" s="14">
        <f>IF($B19="","",IFERROR(VLOOKUP(N19,'Critérios e pesos'!$B$17:$C$20,2,FALSE),0))</f>
        <v/>
      </c>
      <c r="S19" s="9">
        <f>IF($B19="","",MAX(0,P19+Q19+R19))</f>
        <v/>
      </c>
      <c r="T19" s="9">
        <f>IF($B19="","",IF(O19&lt;&gt;"","X",IF(S19&gt;='Critérios e pesos'!$C$29,"A",IF(S19&gt;='Critérios e pesos'!$C$30,"B","C"))))</f>
        <v/>
      </c>
      <c r="U19" s="14">
        <f>IF(T19="","",INDEX('Critérios e pesos'!$D$29:$D$32,MATCH(T19,'Critérios e pesos'!$A$29:$A$32,0)))</f>
        <v/>
      </c>
      <c r="V19" s="14">
        <f>IF(T19="","",INDEX('Critérios e pesos'!$F$29:$F$32,MATCH(T19,'Critérios e pesos'!$A$29:$A$32,0)))</f>
        <v/>
      </c>
      <c r="W19" s="15">
        <f>IF(OR(AH19="",AJ19=""),"",IF(AI19+AJ19*60&lt;=ROUND('Critérios e pesos'!$C$37*1440,0),INT(AH19)+(AI19+AJ19*60)/1440,WORKDAY(INT(AH19),1+INT((AI19+AJ19*60-ROUND('Critérios e pesos'!$C$37*1440,0)-1)/(ROUND('Critérios e pesos'!$C$37*1440,0)-ROUND('Critérios e pesos'!$C$36*1440,0))))+(ROUND('Critérios e pesos'!$C$36*1440,0)+AI19+AJ19*60-ROUND('Critérios e pesos'!$C$37*1440,0)-INT((AI19+AJ19*60-ROUND('Critérios e pesos'!$C$37*1440,0)-1)/(ROUND('Critérios e pesos'!$C$37*1440,0)-ROUND('Critérios e pesos'!$C$36*1440,0)))*(ROUND('Critérios e pesos'!$C$37*1440,0)-ROUND('Critérios e pesos'!$C$36*1440,0)))/1440))</f>
        <v/>
      </c>
      <c r="X19" s="16" t="n">
        <v>46282.68055555555</v>
      </c>
      <c r="Y19" s="14">
        <f>IF(W19="","",IF(X19="",IF(NOW()&gt;W19,"Atrasado","Em espera"),IF(X19&lt;=W19,"No prazo","Atrasado")))</f>
        <v/>
      </c>
      <c r="Z19" s="17" t="n"/>
      <c r="AA19" s="14">
        <f>IF($B19="","",IF(OR(T19="X",AD19&lt;&gt;""),0,MAX(0,MIN(Q19,'Critérios e pesos'!$C$38*INT((TODAY()-IF(Z19&lt;&gt;"",Z19,INT($A19)))/7)))))</f>
        <v/>
      </c>
      <c r="AB19" s="14">
        <f>IF($B19="","",MAX(0,S19-AA19))</f>
        <v/>
      </c>
      <c r="AC19" s="9">
        <f>IF($B19="","",IF(T19="X","X",IF(AB19&gt;='Critérios e pesos'!$C$29,"A",IF(AB19&gt;='Critérios e pesos'!$C$30,"B","C"))))</f>
        <v/>
      </c>
      <c r="AD19" s="4" t="inlineStr">
        <is>
          <t>Ganho</t>
        </is>
      </c>
      <c r="AE19" s="18" t="n">
        <v>6000</v>
      </c>
      <c r="AF19" s="6" t="n"/>
      <c r="AH19">
        <f>IF($A19="","",IF(OR(WEEKDAY($A19,2)&gt;5,ROUND(MOD($A19,1)*1440,0)&gt;=ROUND('Critérios e pesos'!$C$37*1440,0)),WORKDAY(INT($A19),1)+ROUND('Critérios e pesos'!$C$36*1440,0)/1440,IF(ROUND(MOD($A19,1)*1440,0)&lt;ROUND('Critérios e pesos'!$C$36*1440,0),INT($A19)+ROUND('Critérios e pesos'!$C$36*1440,0)/1440,$A19)))</f>
        <v/>
      </c>
      <c r="AI19">
        <f>IF(AH19="","",ROUND(MOD(AH19,1)*1440,0))</f>
        <v/>
      </c>
      <c r="AJ19">
        <f>IF(T19="","",INDEX('Critérios e pesos'!$E$29:$E$32,MATCH(T19,'Critérios e pesos'!$A$29:$A$32,0)))</f>
        <v/>
      </c>
    </row>
    <row r="20">
      <c r="A20" s="13" t="n">
        <v>46283.73611111111</v>
      </c>
      <c r="B20" s="6" t="inlineStr">
        <is>
          <t>Ruth A.</t>
        </is>
      </c>
      <c r="C20" s="6" t="inlineStr">
        <is>
          <t>Adler Consulting</t>
        </is>
      </c>
      <c r="D20" s="4" t="inlineStr">
        <is>
          <t>Chat do site</t>
        </is>
      </c>
      <c r="E20" s="4" t="inlineStr">
        <is>
          <t>Em parte</t>
        </is>
      </c>
      <c r="F20" s="4" t="inlineStr">
        <is>
          <t>Claro</t>
        </is>
      </c>
      <c r="G20" s="4" t="inlineStr">
        <is>
          <t>Claro</t>
        </is>
      </c>
      <c r="H20" s="4" t="inlineStr">
        <is>
          <t>Em parte</t>
        </is>
      </c>
      <c r="I20" s="4" t="inlineStr">
        <is>
          <t>Claro</t>
        </is>
      </c>
      <c r="J20" s="4" t="inlineStr">
        <is>
          <t>Em parte</t>
        </is>
      </c>
      <c r="K20" s="4" t="inlineStr">
        <is>
          <t>Em parte</t>
        </is>
      </c>
      <c r="L20" s="4" t="inlineStr">
        <is>
          <t>Em parte</t>
        </is>
      </c>
      <c r="M20" s="4" t="inlineStr">
        <is>
          <t>Não disse</t>
        </is>
      </c>
      <c r="N20" s="6" t="inlineStr">
        <is>
          <t>Orçamento abaixo de 450 $ por mês</t>
        </is>
      </c>
      <c r="O20" s="6" t="n"/>
      <c r="P20" s="14">
        <f>IF($B20="","",(E20="Claro")*'Critérios e pesos'!$G$5+(E20="Em parte")*'Critérios e pesos'!$G$5/2+(F20="Claro")*'Critérios e pesos'!$G$6+(F20="Em parte")*'Critérios e pesos'!$G$6/2+(G20="Claro")*'Critérios e pesos'!$G$7+(G20="Em parte")*'Critérios e pesos'!$G$7/2+(H20="Claro")*'Critérios e pesos'!$G$8+(H20="Em parte")*'Critérios e pesos'!$G$8/2)</f>
        <v/>
      </c>
      <c r="Q20" s="14">
        <f>IF($B20="","",(I20="Claro")*'Critérios e pesos'!$G$9+(I20="Em parte")*'Critérios e pesos'!$G$9/2+(J20="Claro")*'Critérios e pesos'!$G$10+(J20="Em parte")*'Critérios e pesos'!$G$10/2+(K20="Claro")*'Critérios e pesos'!$G$11+(K20="Em parte")*'Critérios e pesos'!$G$11/2+(L20="Claro")*'Critérios e pesos'!$G$12+(L20="Em parte")*'Critérios e pesos'!$G$12/2+(M20="Claro")*'Critérios e pesos'!$G$13+(M20="Em parte")*'Critérios e pesos'!$G$13/2)</f>
        <v/>
      </c>
      <c r="R20" s="14">
        <f>IF($B20="","",IFERROR(VLOOKUP(N20,'Critérios e pesos'!$B$17:$C$20,2,FALSE),0))</f>
        <v/>
      </c>
      <c r="S20" s="9">
        <f>IF($B20="","",MAX(0,P20+Q20+R20))</f>
        <v/>
      </c>
      <c r="T20" s="9">
        <f>IF($B20="","",IF(O20&lt;&gt;"","X",IF(S20&gt;='Critérios e pesos'!$C$29,"A",IF(S20&gt;='Critérios e pesos'!$C$30,"B","C"))))</f>
        <v/>
      </c>
      <c r="U20" s="14">
        <f>IF(T20="","",INDEX('Critérios e pesos'!$D$29:$D$32,MATCH(T20,'Critérios e pesos'!$A$29:$A$32,0)))</f>
        <v/>
      </c>
      <c r="V20" s="14">
        <f>IF(T20="","",INDEX('Critérios e pesos'!$F$29:$F$32,MATCH(T20,'Critérios e pesos'!$A$29:$A$32,0)))</f>
        <v/>
      </c>
      <c r="W20" s="15">
        <f>IF(OR(AH20="",AJ20=""),"",IF(AI20+AJ20*60&lt;=ROUND('Critérios e pesos'!$C$37*1440,0),INT(AH20)+(AI20+AJ20*60)/1440,WORKDAY(INT(AH20),1+INT((AI20+AJ20*60-ROUND('Critérios e pesos'!$C$37*1440,0)-1)/(ROUND('Critérios e pesos'!$C$37*1440,0)-ROUND('Critérios e pesos'!$C$36*1440,0))))+(ROUND('Critérios e pesos'!$C$36*1440,0)+AI20+AJ20*60-ROUND('Critérios e pesos'!$C$37*1440,0)-INT((AI20+AJ20*60-ROUND('Critérios e pesos'!$C$37*1440,0)-1)/(ROUND('Critérios e pesos'!$C$37*1440,0)-ROUND('Critérios e pesos'!$C$36*1440,0)))*(ROUND('Critérios e pesos'!$C$37*1440,0)-ROUND('Critérios e pesos'!$C$36*1440,0)))/1440))</f>
        <v/>
      </c>
      <c r="X20" s="16" t="n">
        <v>46286.42708333334</v>
      </c>
      <c r="Y20" s="14">
        <f>IF(W20="","",IF(X20="",IF(NOW()&gt;W20,"Atrasado","Em espera"),IF(X20&lt;=W20,"No prazo","Atrasado")))</f>
        <v/>
      </c>
      <c r="Z20" s="17" t="n"/>
      <c r="AA20" s="14">
        <f>IF($B20="","",IF(OR(T20="X",AD20&lt;&gt;""),0,MAX(0,MIN(Q20,'Critérios e pesos'!$C$38*INT((TODAY()-IF(Z20&lt;&gt;"",Z20,INT($A20)))/7)))))</f>
        <v/>
      </c>
      <c r="AB20" s="14">
        <f>IF($B20="","",MAX(0,S20-AA20))</f>
        <v/>
      </c>
      <c r="AC20" s="9">
        <f>IF($B20="","",IF(T20="X","X",IF(AB20&gt;='Critérios e pesos'!$C$29,"A",IF(AB20&gt;='Critérios e pesos'!$C$30,"B","C"))))</f>
        <v/>
      </c>
      <c r="AD20" s="4" t="inlineStr">
        <is>
          <t>Perdido</t>
        </is>
      </c>
      <c r="AE20" s="18" t="n"/>
      <c r="AF20" s="6" t="inlineStr">
        <is>
          <t>Orçamento de 350 $ por mês</t>
        </is>
      </c>
      <c r="AH20">
        <f>IF($A20="","",IF(OR(WEEKDAY($A20,2)&gt;5,ROUND(MOD($A20,1)*1440,0)&gt;=ROUND('Critérios e pesos'!$C$37*1440,0)),WORKDAY(INT($A20),1)+ROUND('Critérios e pesos'!$C$36*1440,0)/1440,IF(ROUND(MOD($A20,1)*1440,0)&lt;ROUND('Critérios e pesos'!$C$36*1440,0),INT($A20)+ROUND('Critérios e pesos'!$C$36*1440,0)/1440,$A20)))</f>
        <v/>
      </c>
      <c r="AI20">
        <f>IF(AH20="","",ROUND(MOD(AH20,1)*1440,0))</f>
        <v/>
      </c>
      <c r="AJ20">
        <f>IF(T20="","",INDEX('Critérios e pesos'!$E$29:$E$32,MATCH(T20,'Critérios e pesos'!$A$29:$A$32,0)))</f>
        <v/>
      </c>
    </row>
    <row r="21">
      <c r="A21" s="13" t="n">
        <v>46286.43055555555</v>
      </c>
      <c r="B21" s="6" t="inlineStr">
        <is>
          <t>Chris B.</t>
        </is>
      </c>
      <c r="C21" s="6" t="inlineStr">
        <is>
          <t>Bauer Roofing</t>
        </is>
      </c>
      <c r="D21" s="4" t="inlineStr">
        <is>
          <t>Telefone</t>
        </is>
      </c>
      <c r="E21" s="4" t="inlineStr">
        <is>
          <t>Claro</t>
        </is>
      </c>
      <c r="F21" s="4" t="inlineStr">
        <is>
          <t>Em parte</t>
        </is>
      </c>
      <c r="G21" s="4" t="inlineStr">
        <is>
          <t>Claro</t>
        </is>
      </c>
      <c r="H21" s="4" t="inlineStr">
        <is>
          <t>Claro</t>
        </is>
      </c>
      <c r="I21" s="4" t="inlineStr">
        <is>
          <t>Claro</t>
        </is>
      </c>
      <c r="J21" s="4" t="inlineStr">
        <is>
          <t>Em parte</t>
        </is>
      </c>
      <c r="K21" s="4" t="inlineStr">
        <is>
          <t>Em parte</t>
        </is>
      </c>
      <c r="L21" s="4" t="inlineStr">
        <is>
          <t>Não disse</t>
        </is>
      </c>
      <c r="M21" s="4" t="inlineStr">
        <is>
          <t>Claro</t>
        </is>
      </c>
      <c r="N21" s="6" t="n"/>
      <c r="O21" s="6" t="n"/>
      <c r="P21" s="14">
        <f>IF($B21="","",(E21="Claro")*'Critérios e pesos'!$G$5+(E21="Em parte")*'Critérios e pesos'!$G$5/2+(F21="Claro")*'Critérios e pesos'!$G$6+(F21="Em parte")*'Critérios e pesos'!$G$6/2+(G21="Claro")*'Critérios e pesos'!$G$7+(G21="Em parte")*'Critérios e pesos'!$G$7/2+(H21="Claro")*'Critérios e pesos'!$G$8+(H21="Em parte")*'Critérios e pesos'!$G$8/2)</f>
        <v/>
      </c>
      <c r="Q21" s="14">
        <f>IF($B21="","",(I21="Claro")*'Critérios e pesos'!$G$9+(I21="Em parte")*'Critérios e pesos'!$G$9/2+(J21="Claro")*'Critérios e pesos'!$G$10+(J21="Em parte")*'Critérios e pesos'!$G$10/2+(K21="Claro")*'Critérios e pesos'!$G$11+(K21="Em parte")*'Critérios e pesos'!$G$11/2+(L21="Claro")*'Critérios e pesos'!$G$12+(L21="Em parte")*'Critérios e pesos'!$G$12/2+(M21="Claro")*'Critérios e pesos'!$G$13+(M21="Em parte")*'Critérios e pesos'!$G$13/2)</f>
        <v/>
      </c>
      <c r="R21" s="14">
        <f>IF($B21="","",IFERROR(VLOOKUP(N21,'Critérios e pesos'!$B$17:$C$20,2,FALSE),0))</f>
        <v/>
      </c>
      <c r="S21" s="9">
        <f>IF($B21="","",MAX(0,P21+Q21+R21))</f>
        <v/>
      </c>
      <c r="T21" s="9">
        <f>IF($B21="","",IF(O21&lt;&gt;"","X",IF(S21&gt;='Critérios e pesos'!$C$29,"A",IF(S21&gt;='Critérios e pesos'!$C$30,"B","C"))))</f>
        <v/>
      </c>
      <c r="U21" s="14">
        <f>IF(T21="","",INDEX('Critérios e pesos'!$D$29:$D$32,MATCH(T21,'Critérios e pesos'!$A$29:$A$32,0)))</f>
        <v/>
      </c>
      <c r="V21" s="14">
        <f>IF(T21="","",INDEX('Critérios e pesos'!$F$29:$F$32,MATCH(T21,'Critérios e pesos'!$A$29:$A$32,0)))</f>
        <v/>
      </c>
      <c r="W21" s="15">
        <f>IF(OR(AH21="",AJ21=""),"",IF(AI21+AJ21*60&lt;=ROUND('Critérios e pesos'!$C$37*1440,0),INT(AH21)+(AI21+AJ21*60)/1440,WORKDAY(INT(AH21),1+INT((AI21+AJ21*60-ROUND('Critérios e pesos'!$C$37*1440,0)-1)/(ROUND('Critérios e pesos'!$C$37*1440,0)-ROUND('Critérios e pesos'!$C$36*1440,0))))+(ROUND('Critérios e pesos'!$C$36*1440,0)+AI21+AJ21*60-ROUND('Critérios e pesos'!$C$37*1440,0)-INT((AI21+AJ21*60-ROUND('Critérios e pesos'!$C$37*1440,0)-1)/(ROUND('Critérios e pesos'!$C$37*1440,0)-ROUND('Critérios e pesos'!$C$36*1440,0)))*(ROUND('Critérios e pesos'!$C$37*1440,0)-ROUND('Critérios e pesos'!$C$36*1440,0)))/1440))</f>
        <v/>
      </c>
      <c r="X21" s="16" t="n">
        <v>46286.54513888889</v>
      </c>
      <c r="Y21" s="14">
        <f>IF(W21="","",IF(X21="",IF(NOW()&gt;W21,"Atrasado","Em espera"),IF(X21&lt;=W21,"No prazo","Atrasado")))</f>
        <v/>
      </c>
      <c r="Z21" s="17" t="n"/>
      <c r="AA21" s="14">
        <f>IF($B21="","",IF(OR(T21="X",AD21&lt;&gt;""),0,MAX(0,MIN(Q21,'Critérios e pesos'!$C$38*INT((TODAY()-IF(Z21&lt;&gt;"",Z21,INT($A21)))/7)))))</f>
        <v/>
      </c>
      <c r="AB21" s="14">
        <f>IF($B21="","",MAX(0,S21-AA21))</f>
        <v/>
      </c>
      <c r="AC21" s="9">
        <f>IF($B21="","",IF(T21="X","X",IF(AB21&gt;='Critérios e pesos'!$C$29,"A",IF(AB21&gt;='Critérios e pesos'!$C$30,"B","C"))))</f>
        <v/>
      </c>
      <c r="AD21" s="4" t="inlineStr">
        <is>
          <t>Perdido</t>
        </is>
      </c>
      <c r="AE21" s="18" t="n"/>
      <c r="AF21" s="6" t="inlineStr">
        <is>
          <t>Primeira resposta com 1 hora e 45 minutos de atraso; escolheu outra empresa</t>
        </is>
      </c>
      <c r="AH21">
        <f>IF($A21="","",IF(OR(WEEKDAY($A21,2)&gt;5,ROUND(MOD($A21,1)*1440,0)&gt;=ROUND('Critérios e pesos'!$C$37*1440,0)),WORKDAY(INT($A21),1)+ROUND('Critérios e pesos'!$C$36*1440,0)/1440,IF(ROUND(MOD($A21,1)*1440,0)&lt;ROUND('Critérios e pesos'!$C$36*1440,0),INT($A21)+ROUND('Critérios e pesos'!$C$36*1440,0)/1440,$A21)))</f>
        <v/>
      </c>
      <c r="AI21">
        <f>IF(AH21="","",ROUND(MOD(AH21,1)*1440,0))</f>
        <v/>
      </c>
      <c r="AJ21">
        <f>IF(T21="","",INDEX('Critérios e pesos'!$E$29:$E$32,MATCH(T21,'Critérios e pesos'!$A$29:$A$32,0)))</f>
        <v/>
      </c>
    </row>
    <row r="22">
      <c r="A22" s="13" t="n">
        <v>46286.6875</v>
      </c>
      <c r="B22" s="6" t="inlineStr">
        <is>
          <t>Rita G.</t>
        </is>
      </c>
      <c r="C22" s="6" t="inlineStr">
        <is>
          <t>Gomez Cleaning Crew</t>
        </is>
      </c>
      <c r="D22" s="4" t="inlineStr">
        <is>
          <t>Recomendação</t>
        </is>
      </c>
      <c r="E22" s="4" t="inlineStr">
        <is>
          <t>Em parte</t>
        </is>
      </c>
      <c r="F22" s="4" t="inlineStr">
        <is>
          <t>Claro</t>
        </is>
      </c>
      <c r="G22" s="4" t="inlineStr">
        <is>
          <t>Claro</t>
        </is>
      </c>
      <c r="H22" s="4" t="inlineStr">
        <is>
          <t>Não disse</t>
        </is>
      </c>
      <c r="I22" s="4" t="inlineStr">
        <is>
          <t>Em parte</t>
        </is>
      </c>
      <c r="J22" s="4" t="inlineStr">
        <is>
          <t>Não disse</t>
        </is>
      </c>
      <c r="K22" s="4" t="inlineStr">
        <is>
          <t>Não disse</t>
        </is>
      </c>
      <c r="L22" s="4" t="inlineStr">
        <is>
          <t>Não disse</t>
        </is>
      </c>
      <c r="M22" s="4" t="inlineStr">
        <is>
          <t>Claro</t>
        </is>
      </c>
      <c r="N22" s="6" t="n"/>
      <c r="O22" s="6" t="n"/>
      <c r="P22" s="14">
        <f>IF($B22="","",(E22="Claro")*'Critérios e pesos'!$G$5+(E22="Em parte")*'Critérios e pesos'!$G$5/2+(F22="Claro")*'Critérios e pesos'!$G$6+(F22="Em parte")*'Critérios e pesos'!$G$6/2+(G22="Claro")*'Critérios e pesos'!$G$7+(G22="Em parte")*'Critérios e pesos'!$G$7/2+(H22="Claro")*'Critérios e pesos'!$G$8+(H22="Em parte")*'Critérios e pesos'!$G$8/2)</f>
        <v/>
      </c>
      <c r="Q22" s="14">
        <f>IF($B22="","",(I22="Claro")*'Critérios e pesos'!$G$9+(I22="Em parte")*'Critérios e pesos'!$G$9/2+(J22="Claro")*'Critérios e pesos'!$G$10+(J22="Em parte")*'Critérios e pesos'!$G$10/2+(K22="Claro")*'Critérios e pesos'!$G$11+(K22="Em parte")*'Critérios e pesos'!$G$11/2+(L22="Claro")*'Critérios e pesos'!$G$12+(L22="Em parte")*'Critérios e pesos'!$G$12/2+(M22="Claro")*'Critérios e pesos'!$G$13+(M22="Em parte")*'Critérios e pesos'!$G$13/2)</f>
        <v/>
      </c>
      <c r="R22" s="14">
        <f>IF($B22="","",IFERROR(VLOOKUP(N22,'Critérios e pesos'!$B$17:$C$20,2,FALSE),0))</f>
        <v/>
      </c>
      <c r="S22" s="9">
        <f>IF($B22="","",MAX(0,P22+Q22+R22))</f>
        <v/>
      </c>
      <c r="T22" s="9">
        <f>IF($B22="","",IF(O22&lt;&gt;"","X",IF(S22&gt;='Critérios e pesos'!$C$29,"A",IF(S22&gt;='Critérios e pesos'!$C$30,"B","C"))))</f>
        <v/>
      </c>
      <c r="U22" s="14">
        <f>IF(T22="","",INDEX('Critérios e pesos'!$D$29:$D$32,MATCH(T22,'Critérios e pesos'!$A$29:$A$32,0)))</f>
        <v/>
      </c>
      <c r="V22" s="14">
        <f>IF(T22="","",INDEX('Critérios e pesos'!$F$29:$F$32,MATCH(T22,'Critérios e pesos'!$A$29:$A$32,0)))</f>
        <v/>
      </c>
      <c r="W22" s="15">
        <f>IF(OR(AH22="",AJ22=""),"",IF(AI22+AJ22*60&lt;=ROUND('Critérios e pesos'!$C$37*1440,0),INT(AH22)+(AI22+AJ22*60)/1440,WORKDAY(INT(AH22),1+INT((AI22+AJ22*60-ROUND('Critérios e pesos'!$C$37*1440,0)-1)/(ROUND('Critérios e pesos'!$C$37*1440,0)-ROUND('Critérios e pesos'!$C$36*1440,0))))+(ROUND('Critérios e pesos'!$C$36*1440,0)+AI22+AJ22*60-ROUND('Critérios e pesos'!$C$37*1440,0)-INT((AI22+AJ22*60-ROUND('Critérios e pesos'!$C$37*1440,0)-1)/(ROUND('Critérios e pesos'!$C$37*1440,0)-ROUND('Critérios e pesos'!$C$36*1440,0)))*(ROUND('Critérios e pesos'!$C$37*1440,0)-ROUND('Critérios e pesos'!$C$36*1440,0)))/1440))</f>
        <v/>
      </c>
      <c r="X22" s="16" t="n">
        <v>46287.41666666666</v>
      </c>
      <c r="Y22" s="14">
        <f>IF(W22="","",IF(X22="",IF(NOW()&gt;W22,"Atrasado","Em espera"),IF(X22&lt;=W22,"No prazo","Atrasado")))</f>
        <v/>
      </c>
      <c r="Z22" s="17" t="n"/>
      <c r="AA22" s="14">
        <f>IF($B22="","",IF(OR(T22="X",AD22&lt;&gt;""),0,MAX(0,MIN(Q22,'Critérios e pesos'!$C$38*INT((TODAY()-IF(Z22&lt;&gt;"",Z22,INT($A22)))/7)))))</f>
        <v/>
      </c>
      <c r="AB22" s="14">
        <f>IF($B22="","",MAX(0,S22-AA22))</f>
        <v/>
      </c>
      <c r="AC22" s="9">
        <f>IF($B22="","",IF(T22="X","X",IF(AB22&gt;='Critérios e pesos'!$C$29,"A",IF(AB22&gt;='Critérios e pesos'!$C$30,"B","C"))))</f>
        <v/>
      </c>
      <c r="AD22" s="4" t="inlineStr">
        <is>
          <t>Ganho</t>
        </is>
      </c>
      <c r="AE22" s="18" t="n">
        <v>3600</v>
      </c>
      <c r="AF22" s="6" t="inlineStr">
        <is>
          <t>Recomendação da Tessa M.</t>
        </is>
      </c>
      <c r="AH22">
        <f>IF($A22="","",IF(OR(WEEKDAY($A22,2)&gt;5,ROUND(MOD($A22,1)*1440,0)&gt;=ROUND('Critérios e pesos'!$C$37*1440,0)),WORKDAY(INT($A22),1)+ROUND('Critérios e pesos'!$C$36*1440,0)/1440,IF(ROUND(MOD($A22,1)*1440,0)&lt;ROUND('Critérios e pesos'!$C$36*1440,0),INT($A22)+ROUND('Critérios e pesos'!$C$36*1440,0)/1440,$A22)))</f>
        <v/>
      </c>
      <c r="AI22">
        <f>IF(AH22="","",ROUND(MOD(AH22,1)*1440,0))</f>
        <v/>
      </c>
      <c r="AJ22">
        <f>IF(T22="","",INDEX('Critérios e pesos'!$E$29:$E$32,MATCH(T22,'Critérios e pesos'!$A$29:$A$32,0)))</f>
        <v/>
      </c>
    </row>
    <row r="23">
      <c r="A23" s="13" t="n">
        <v>46287.54166666666</v>
      </c>
      <c r="B23" s="6" t="inlineStr">
        <is>
          <t>Lena F.</t>
        </is>
      </c>
      <c r="C23" s="6" t="inlineStr">
        <is>
          <t>Alpine Hearing Clinic</t>
        </is>
      </c>
      <c r="D23" s="4" t="inlineStr">
        <is>
          <t>Chat do site</t>
        </is>
      </c>
      <c r="E23" s="4" t="inlineStr">
        <is>
          <t>Claro</t>
        </is>
      </c>
      <c r="F23" s="4" t="inlineStr">
        <is>
          <t>Claro</t>
        </is>
      </c>
      <c r="G23" s="4" t="inlineStr">
        <is>
          <t>Claro</t>
        </is>
      </c>
      <c r="H23" s="4" t="inlineStr">
        <is>
          <t>Claro</t>
        </is>
      </c>
      <c r="I23" s="4" t="inlineStr">
        <is>
          <t>Claro</t>
        </is>
      </c>
      <c r="J23" s="4" t="inlineStr">
        <is>
          <t>Claro</t>
        </is>
      </c>
      <c r="K23" s="4" t="inlineStr">
        <is>
          <t>Claro</t>
        </is>
      </c>
      <c r="L23" s="4" t="inlineStr">
        <is>
          <t>Em parte</t>
        </is>
      </c>
      <c r="M23" s="4" t="inlineStr">
        <is>
          <t>Claro</t>
        </is>
      </c>
      <c r="N23" s="6" t="n"/>
      <c r="O23" s="6" t="n"/>
      <c r="P23" s="14">
        <f>IF($B23="","",(E23="Claro")*'Critérios e pesos'!$G$5+(E23="Em parte")*'Critérios e pesos'!$G$5/2+(F23="Claro")*'Critérios e pesos'!$G$6+(F23="Em parte")*'Critérios e pesos'!$G$6/2+(G23="Claro")*'Critérios e pesos'!$G$7+(G23="Em parte")*'Critérios e pesos'!$G$7/2+(H23="Claro")*'Critérios e pesos'!$G$8+(H23="Em parte")*'Critérios e pesos'!$G$8/2)</f>
        <v/>
      </c>
      <c r="Q23" s="14">
        <f>IF($B23="","",(I23="Claro")*'Critérios e pesos'!$G$9+(I23="Em parte")*'Critérios e pesos'!$G$9/2+(J23="Claro")*'Critérios e pesos'!$G$10+(J23="Em parte")*'Critérios e pesos'!$G$10/2+(K23="Claro")*'Critérios e pesos'!$G$11+(K23="Em parte")*'Critérios e pesos'!$G$11/2+(L23="Claro")*'Critérios e pesos'!$G$12+(L23="Em parte")*'Critérios e pesos'!$G$12/2+(M23="Claro")*'Critérios e pesos'!$G$13+(M23="Em parte")*'Critérios e pesos'!$G$13/2)</f>
        <v/>
      </c>
      <c r="R23" s="14">
        <f>IF($B23="","",IFERROR(VLOOKUP(N23,'Critérios e pesos'!$B$17:$C$20,2,FALSE),0))</f>
        <v/>
      </c>
      <c r="S23" s="9">
        <f>IF($B23="","",MAX(0,P23+Q23+R23))</f>
        <v/>
      </c>
      <c r="T23" s="9">
        <f>IF($B23="","",IF(O23&lt;&gt;"","X",IF(S23&gt;='Critérios e pesos'!$C$29,"A",IF(S23&gt;='Critérios e pesos'!$C$30,"B","C"))))</f>
        <v/>
      </c>
      <c r="U23" s="14">
        <f>IF(T23="","",INDEX('Critérios e pesos'!$D$29:$D$32,MATCH(T23,'Critérios e pesos'!$A$29:$A$32,0)))</f>
        <v/>
      </c>
      <c r="V23" s="14">
        <f>IF(T23="","",INDEX('Critérios e pesos'!$F$29:$F$32,MATCH(T23,'Critérios e pesos'!$A$29:$A$32,0)))</f>
        <v/>
      </c>
      <c r="W23" s="15">
        <f>IF(OR(AH23="",AJ23=""),"",IF(AI23+AJ23*60&lt;=ROUND('Critérios e pesos'!$C$37*1440,0),INT(AH23)+(AI23+AJ23*60)/1440,WORKDAY(INT(AH23),1+INT((AI23+AJ23*60-ROUND('Critérios e pesos'!$C$37*1440,0)-1)/(ROUND('Critérios e pesos'!$C$37*1440,0)-ROUND('Critérios e pesos'!$C$36*1440,0))))+(ROUND('Critérios e pesos'!$C$36*1440,0)+AI23+AJ23*60-ROUND('Critérios e pesos'!$C$37*1440,0)-INT((AI23+AJ23*60-ROUND('Critérios e pesos'!$C$37*1440,0)-1)/(ROUND('Critérios e pesos'!$C$37*1440,0)-ROUND('Critérios e pesos'!$C$36*1440,0)))*(ROUND('Critérios e pesos'!$C$37*1440,0)-ROUND('Critérios e pesos'!$C$36*1440,0)))/1440))</f>
        <v/>
      </c>
      <c r="X23" s="16" t="n">
        <v>46287.55555555555</v>
      </c>
      <c r="Y23" s="14">
        <f>IF(W23="","",IF(X23="",IF(NOW()&gt;W23,"Atrasado","Em espera"),IF(X23&lt;=W23,"No prazo","Atrasado")))</f>
        <v/>
      </c>
      <c r="Z23" s="17" t="n"/>
      <c r="AA23" s="14">
        <f>IF($B23="","",IF(OR(T23="X",AD23&lt;&gt;""),0,MAX(0,MIN(Q23,'Critérios e pesos'!$C$38*INT((TODAY()-IF(Z23&lt;&gt;"",Z23,INT($A23)))/7)))))</f>
        <v/>
      </c>
      <c r="AB23" s="14">
        <f>IF($B23="","",MAX(0,S23-AA23))</f>
        <v/>
      </c>
      <c r="AC23" s="9">
        <f>IF($B23="","",IF(T23="X","X",IF(AB23&gt;='Critérios e pesos'!$C$29,"A",IF(AB23&gt;='Critérios e pesos'!$C$30,"B","C"))))</f>
        <v/>
      </c>
      <c r="AD23" s="4" t="inlineStr">
        <is>
          <t>Ganho</t>
        </is>
      </c>
      <c r="AE23" s="18" t="n">
        <v>6600</v>
      </c>
      <c r="AF23" s="6" t="n"/>
      <c r="AH23">
        <f>IF($A23="","",IF(OR(WEEKDAY($A23,2)&gt;5,ROUND(MOD($A23,1)*1440,0)&gt;=ROUND('Critérios e pesos'!$C$37*1440,0)),WORKDAY(INT($A23),1)+ROUND('Critérios e pesos'!$C$36*1440,0)/1440,IF(ROUND(MOD($A23,1)*1440,0)&lt;ROUND('Critérios e pesos'!$C$36*1440,0),INT($A23)+ROUND('Critérios e pesos'!$C$36*1440,0)/1440,$A23)))</f>
        <v/>
      </c>
      <c r="AI23">
        <f>IF(AH23="","",ROUND(MOD(AH23,1)*1440,0))</f>
        <v/>
      </c>
      <c r="AJ23">
        <f>IF(T23="","",INDEX('Critérios e pesos'!$E$29:$E$32,MATCH(T23,'Critérios e pesos'!$A$29:$A$32,0)))</f>
        <v/>
      </c>
    </row>
    <row r="24">
      <c r="A24" s="13" t="n">
        <v>46288.37847222222</v>
      </c>
      <c r="B24" s="6" t="inlineStr">
        <is>
          <t>Diego S.</t>
        </is>
      </c>
      <c r="C24" s="6" t="inlineStr">
        <is>
          <t>Santos Coffee Roasters</t>
        </is>
      </c>
      <c r="D24" s="4" t="inlineStr">
        <is>
          <t>Formulário web</t>
        </is>
      </c>
      <c r="E24" s="4" t="inlineStr">
        <is>
          <t>Claro</t>
        </is>
      </c>
      <c r="F24" s="4" t="inlineStr">
        <is>
          <t>Claro</t>
        </is>
      </c>
      <c r="G24" s="4" t="inlineStr">
        <is>
          <t>Claro</t>
        </is>
      </c>
      <c r="H24" s="4" t="inlineStr">
        <is>
          <t>Em parte</t>
        </is>
      </c>
      <c r="I24" s="4" t="inlineStr">
        <is>
          <t>Claro</t>
        </is>
      </c>
      <c r="J24" s="4" t="inlineStr">
        <is>
          <t>Não disse</t>
        </is>
      </c>
      <c r="K24" s="4" t="inlineStr">
        <is>
          <t>Em parte</t>
        </is>
      </c>
      <c r="L24" s="4" t="inlineStr">
        <is>
          <t>Não disse</t>
        </is>
      </c>
      <c r="M24" s="4" t="inlineStr">
        <is>
          <t>Claro</t>
        </is>
      </c>
      <c r="N24" s="6" t="n"/>
      <c r="O24" s="6" t="n"/>
      <c r="P24" s="14">
        <f>IF($B24="","",(E24="Claro")*'Critérios e pesos'!$G$5+(E24="Em parte")*'Critérios e pesos'!$G$5/2+(F24="Claro")*'Critérios e pesos'!$G$6+(F24="Em parte")*'Critérios e pesos'!$G$6/2+(G24="Claro")*'Critérios e pesos'!$G$7+(G24="Em parte")*'Critérios e pesos'!$G$7/2+(H24="Claro")*'Critérios e pesos'!$G$8+(H24="Em parte")*'Critérios e pesos'!$G$8/2)</f>
        <v/>
      </c>
      <c r="Q24" s="14">
        <f>IF($B24="","",(I24="Claro")*'Critérios e pesos'!$G$9+(I24="Em parte")*'Critérios e pesos'!$G$9/2+(J24="Claro")*'Critérios e pesos'!$G$10+(J24="Em parte")*'Critérios e pesos'!$G$10/2+(K24="Claro")*'Critérios e pesos'!$G$11+(K24="Em parte")*'Critérios e pesos'!$G$11/2+(L24="Claro")*'Critérios e pesos'!$G$12+(L24="Em parte")*'Critérios e pesos'!$G$12/2+(M24="Claro")*'Critérios e pesos'!$G$13+(M24="Em parte")*'Critérios e pesos'!$G$13/2)</f>
        <v/>
      </c>
      <c r="R24" s="14">
        <f>IF($B24="","",IFERROR(VLOOKUP(N24,'Critérios e pesos'!$B$17:$C$20,2,FALSE),0))</f>
        <v/>
      </c>
      <c r="S24" s="9">
        <f>IF($B24="","",MAX(0,P24+Q24+R24))</f>
        <v/>
      </c>
      <c r="T24" s="9">
        <f>IF($B24="","",IF(O24&lt;&gt;"","X",IF(S24&gt;='Critérios e pesos'!$C$29,"A",IF(S24&gt;='Critérios e pesos'!$C$30,"B","C"))))</f>
        <v/>
      </c>
      <c r="U24" s="14">
        <f>IF(T24="","",INDEX('Critérios e pesos'!$D$29:$D$32,MATCH(T24,'Critérios e pesos'!$A$29:$A$32,0)))</f>
        <v/>
      </c>
      <c r="V24" s="14">
        <f>IF(T24="","",INDEX('Critérios e pesos'!$F$29:$F$32,MATCH(T24,'Critérios e pesos'!$A$29:$A$32,0)))</f>
        <v/>
      </c>
      <c r="W24" s="15">
        <f>IF(OR(AH24="",AJ24=""),"",IF(AI24+AJ24*60&lt;=ROUND('Critérios e pesos'!$C$37*1440,0),INT(AH24)+(AI24+AJ24*60)/1440,WORKDAY(INT(AH24),1+INT((AI24+AJ24*60-ROUND('Critérios e pesos'!$C$37*1440,0)-1)/(ROUND('Critérios e pesos'!$C$37*1440,0)-ROUND('Critérios e pesos'!$C$36*1440,0))))+(ROUND('Critérios e pesos'!$C$36*1440,0)+AI24+AJ24*60-ROUND('Critérios e pesos'!$C$37*1440,0)-INT((AI24+AJ24*60-ROUND('Critérios e pesos'!$C$37*1440,0)-1)/(ROUND('Critérios e pesos'!$C$37*1440,0)-ROUND('Critérios e pesos'!$C$36*1440,0)))*(ROUND('Critérios e pesos'!$C$37*1440,0)-ROUND('Critérios e pesos'!$C$36*1440,0)))/1440))</f>
        <v/>
      </c>
      <c r="X24" s="16" t="n">
        <v>46288.45833333334</v>
      </c>
      <c r="Y24" s="14">
        <f>IF(W24="","",IF(X24="",IF(NOW()&gt;W24,"Atrasado","Em espera"),IF(X24&lt;=W24,"No prazo","Atrasado")))</f>
        <v/>
      </c>
      <c r="Z24" s="17" t="n"/>
      <c r="AA24" s="14">
        <f>IF($B24="","",IF(OR(T24="X",AD24&lt;&gt;""),0,MAX(0,MIN(Q24,'Critérios e pesos'!$C$38*INT((TODAY()-IF(Z24&lt;&gt;"",Z24,INT($A24)))/7)))))</f>
        <v/>
      </c>
      <c r="AB24" s="14">
        <f>IF($B24="","",MAX(0,S24-AA24))</f>
        <v/>
      </c>
      <c r="AC24" s="9">
        <f>IF($B24="","",IF(T24="X","X",IF(AB24&gt;='Critérios e pesos'!$C$29,"A",IF(AB24&gt;='Critérios e pesos'!$C$30,"B","C"))))</f>
        <v/>
      </c>
      <c r="AD24" s="4" t="inlineStr">
        <is>
          <t>Perdido</t>
        </is>
      </c>
      <c r="AE24" s="18" t="n"/>
      <c r="AF24" s="6" t="n"/>
      <c r="AH24">
        <f>IF($A24="","",IF(OR(WEEKDAY($A24,2)&gt;5,ROUND(MOD($A24,1)*1440,0)&gt;=ROUND('Critérios e pesos'!$C$37*1440,0)),WORKDAY(INT($A24),1)+ROUND('Critérios e pesos'!$C$36*1440,0)/1440,IF(ROUND(MOD($A24,1)*1440,0)&lt;ROUND('Critérios e pesos'!$C$36*1440,0),INT($A24)+ROUND('Critérios e pesos'!$C$36*1440,0)/1440,$A24)))</f>
        <v/>
      </c>
      <c r="AI24">
        <f>IF(AH24="","",ROUND(MOD(AH24,1)*1440,0))</f>
        <v/>
      </c>
      <c r="AJ24">
        <f>IF(T24="","",INDEX('Critérios e pesos'!$E$29:$E$32,MATCH(T24,'Critérios e pesos'!$A$29:$A$32,0)))</f>
        <v/>
      </c>
    </row>
    <row r="25">
      <c r="A25" s="13" t="n">
        <v>46289.65625</v>
      </c>
      <c r="B25" s="6" t="inlineStr">
        <is>
          <t>Olivia G.</t>
        </is>
      </c>
      <c r="C25" s="6" t="inlineStr">
        <is>
          <t>Grant Pet Supply</t>
        </is>
      </c>
      <c r="D25" s="4" t="inlineStr">
        <is>
          <t>Chat do site</t>
        </is>
      </c>
      <c r="E25" s="4" t="inlineStr">
        <is>
          <t>Em parte</t>
        </is>
      </c>
      <c r="F25" s="4" t="inlineStr">
        <is>
          <t>Claro</t>
        </is>
      </c>
      <c r="G25" s="4" t="inlineStr">
        <is>
          <t>Claro</t>
        </is>
      </c>
      <c r="H25" s="4" t="inlineStr">
        <is>
          <t>Em parte</t>
        </is>
      </c>
      <c r="I25" s="4" t="inlineStr">
        <is>
          <t>Em parte</t>
        </is>
      </c>
      <c r="J25" s="4" t="inlineStr">
        <is>
          <t>Claro</t>
        </is>
      </c>
      <c r="K25" s="4" t="inlineStr">
        <is>
          <t>Não disse</t>
        </is>
      </c>
      <c r="L25" s="4" t="inlineStr">
        <is>
          <t>Em parte</t>
        </is>
      </c>
      <c r="M25" s="4" t="inlineStr">
        <is>
          <t>Não disse</t>
        </is>
      </c>
      <c r="N25" s="6" t="n"/>
      <c r="O25" s="6" t="n"/>
      <c r="P25" s="14">
        <f>IF($B25="","",(E25="Claro")*'Critérios e pesos'!$G$5+(E25="Em parte")*'Critérios e pesos'!$G$5/2+(F25="Claro")*'Critérios e pesos'!$G$6+(F25="Em parte")*'Critérios e pesos'!$G$6/2+(G25="Claro")*'Critérios e pesos'!$G$7+(G25="Em parte")*'Critérios e pesos'!$G$7/2+(H25="Claro")*'Critérios e pesos'!$G$8+(H25="Em parte")*'Critérios e pesos'!$G$8/2)</f>
        <v/>
      </c>
      <c r="Q25" s="14">
        <f>IF($B25="","",(I25="Claro")*'Critérios e pesos'!$G$9+(I25="Em parte")*'Critérios e pesos'!$G$9/2+(J25="Claro")*'Critérios e pesos'!$G$10+(J25="Em parte")*'Critérios e pesos'!$G$10/2+(K25="Claro")*'Critérios e pesos'!$G$11+(K25="Em parte")*'Critérios e pesos'!$G$11/2+(L25="Claro")*'Critérios e pesos'!$G$12+(L25="Em parte")*'Critérios e pesos'!$G$12/2+(M25="Claro")*'Critérios e pesos'!$G$13+(M25="Em parte")*'Critérios e pesos'!$G$13/2)</f>
        <v/>
      </c>
      <c r="R25" s="14">
        <f>IF($B25="","",IFERROR(VLOOKUP(N25,'Critérios e pesos'!$B$17:$C$20,2,FALSE),0))</f>
        <v/>
      </c>
      <c r="S25" s="9">
        <f>IF($B25="","",MAX(0,P25+Q25+R25))</f>
        <v/>
      </c>
      <c r="T25" s="9">
        <f>IF($B25="","",IF(O25&lt;&gt;"","X",IF(S25&gt;='Critérios e pesos'!$C$29,"A",IF(S25&gt;='Critérios e pesos'!$C$30,"B","C"))))</f>
        <v/>
      </c>
      <c r="U25" s="14">
        <f>IF(T25="","",INDEX('Critérios e pesos'!$D$29:$D$32,MATCH(T25,'Critérios e pesos'!$A$29:$A$32,0)))</f>
        <v/>
      </c>
      <c r="V25" s="14">
        <f>IF(T25="","",INDEX('Critérios e pesos'!$F$29:$F$32,MATCH(T25,'Critérios e pesos'!$A$29:$A$32,0)))</f>
        <v/>
      </c>
      <c r="W25" s="15">
        <f>IF(OR(AH25="",AJ25=""),"",IF(AI25+AJ25*60&lt;=ROUND('Critérios e pesos'!$C$37*1440,0),INT(AH25)+(AI25+AJ25*60)/1440,WORKDAY(INT(AH25),1+INT((AI25+AJ25*60-ROUND('Critérios e pesos'!$C$37*1440,0)-1)/(ROUND('Critérios e pesos'!$C$37*1440,0)-ROUND('Critérios e pesos'!$C$36*1440,0))))+(ROUND('Critérios e pesos'!$C$36*1440,0)+AI25+AJ25*60-ROUND('Critérios e pesos'!$C$37*1440,0)-INT((AI25+AJ25*60-ROUND('Critérios e pesos'!$C$37*1440,0)-1)/(ROUND('Critérios e pesos'!$C$37*1440,0)-ROUND('Critérios e pesos'!$C$36*1440,0)))*(ROUND('Critérios e pesos'!$C$37*1440,0)-ROUND('Critérios e pesos'!$C$36*1440,0)))/1440))</f>
        <v/>
      </c>
      <c r="X25" s="16" t="n">
        <v>46290.40277777778</v>
      </c>
      <c r="Y25" s="14">
        <f>IF(W25="","",IF(X25="",IF(NOW()&gt;W25,"Atrasado","Em espera"),IF(X25&lt;=W25,"No prazo","Atrasado")))</f>
        <v/>
      </c>
      <c r="Z25" s="17" t="n"/>
      <c r="AA25" s="14">
        <f>IF($B25="","",IF(OR(T25="X",AD25&lt;&gt;""),0,MAX(0,MIN(Q25,'Critérios e pesos'!$C$38*INT((TODAY()-IF(Z25&lt;&gt;"",Z25,INT($A25)))/7)))))</f>
        <v/>
      </c>
      <c r="AB25" s="14">
        <f>IF($B25="","",MAX(0,S25-AA25))</f>
        <v/>
      </c>
      <c r="AC25" s="9">
        <f>IF($B25="","",IF(T25="X","X",IF(AB25&gt;='Critérios e pesos'!$C$29,"A",IF(AB25&gt;='Critérios e pesos'!$C$30,"B","C"))))</f>
        <v/>
      </c>
      <c r="AD25" s="4" t="inlineStr">
        <is>
          <t>Ganho</t>
        </is>
      </c>
      <c r="AE25" s="18" t="n">
        <v>5400</v>
      </c>
      <c r="AF25" s="6" t="n"/>
      <c r="AH25">
        <f>IF($A25="","",IF(OR(WEEKDAY($A25,2)&gt;5,ROUND(MOD($A25,1)*1440,0)&gt;=ROUND('Critérios e pesos'!$C$37*1440,0)),WORKDAY(INT($A25),1)+ROUND('Critérios e pesos'!$C$36*1440,0)/1440,IF(ROUND(MOD($A25,1)*1440,0)&lt;ROUND('Critérios e pesos'!$C$36*1440,0),INT($A25)+ROUND('Critérios e pesos'!$C$36*1440,0)/1440,$A25)))</f>
        <v/>
      </c>
      <c r="AI25">
        <f>IF(AH25="","",ROUND(MOD(AH25,1)*1440,0))</f>
        <v/>
      </c>
      <c r="AJ25">
        <f>IF(T25="","",INDEX('Critérios e pesos'!$E$29:$E$32,MATCH(T25,'Critérios e pesos'!$A$29:$A$32,0)))</f>
        <v/>
      </c>
    </row>
    <row r="26">
      <c r="A26" s="13" t="n">
        <v>46290.8125</v>
      </c>
      <c r="B26" s="6" t="inlineStr">
        <is>
          <t>Paul T.</t>
        </is>
      </c>
      <c r="C26" s="6" t="inlineStr">
        <is>
          <t>Turner Outfitters</t>
        </is>
      </c>
      <c r="D26" s="4" t="inlineStr">
        <is>
          <t>Chat do site</t>
        </is>
      </c>
      <c r="E26" s="4" t="inlineStr">
        <is>
          <t>Claro</t>
        </is>
      </c>
      <c r="F26" s="4" t="inlineStr">
        <is>
          <t>Não disse</t>
        </is>
      </c>
      <c r="G26" s="4" t="inlineStr">
        <is>
          <t>Claro</t>
        </is>
      </c>
      <c r="H26" s="4" t="inlineStr">
        <is>
          <t>Claro</t>
        </is>
      </c>
      <c r="I26" s="4" t="inlineStr">
        <is>
          <t>Claro</t>
        </is>
      </c>
      <c r="J26" s="4" t="inlineStr">
        <is>
          <t>Claro</t>
        </is>
      </c>
      <c r="K26" s="4" t="inlineStr">
        <is>
          <t>Não disse</t>
        </is>
      </c>
      <c r="L26" s="4" t="inlineStr">
        <is>
          <t>Claro</t>
        </is>
      </c>
      <c r="M26" s="4" t="inlineStr">
        <is>
          <t>Não disse</t>
        </is>
      </c>
      <c r="N26" s="6" t="n"/>
      <c r="O26" s="6" t="inlineStr">
        <is>
          <t>Empresa fora do Colorado</t>
        </is>
      </c>
      <c r="P26" s="14">
        <f>IF($B26="","",(E26="Claro")*'Critérios e pesos'!$G$5+(E26="Em parte")*'Critérios e pesos'!$G$5/2+(F26="Claro")*'Critérios e pesos'!$G$6+(F26="Em parte")*'Critérios e pesos'!$G$6/2+(G26="Claro")*'Critérios e pesos'!$G$7+(G26="Em parte")*'Critérios e pesos'!$G$7/2+(H26="Claro")*'Critérios e pesos'!$G$8+(H26="Em parte")*'Critérios e pesos'!$G$8/2)</f>
        <v/>
      </c>
      <c r="Q26" s="14">
        <f>IF($B26="","",(I26="Claro")*'Critérios e pesos'!$G$9+(I26="Em parte")*'Critérios e pesos'!$G$9/2+(J26="Claro")*'Critérios e pesos'!$G$10+(J26="Em parte")*'Critérios e pesos'!$G$10/2+(K26="Claro")*'Critérios e pesos'!$G$11+(K26="Em parte")*'Critérios e pesos'!$G$11/2+(L26="Claro")*'Critérios e pesos'!$G$12+(L26="Em parte")*'Critérios e pesos'!$G$12/2+(M26="Claro")*'Critérios e pesos'!$G$13+(M26="Em parte")*'Critérios e pesos'!$G$13/2)</f>
        <v/>
      </c>
      <c r="R26" s="14">
        <f>IF($B26="","",IFERROR(VLOOKUP(N26,'Critérios e pesos'!$B$17:$C$20,2,FALSE),0))</f>
        <v/>
      </c>
      <c r="S26" s="9">
        <f>IF($B26="","",MAX(0,P26+Q26+R26))</f>
        <v/>
      </c>
      <c r="T26" s="9">
        <f>IF($B26="","",IF(O26&lt;&gt;"","X",IF(S26&gt;='Critérios e pesos'!$C$29,"A",IF(S26&gt;='Critérios e pesos'!$C$30,"B","C"))))</f>
        <v/>
      </c>
      <c r="U26" s="14">
        <f>IF(T26="","",INDEX('Critérios e pesos'!$D$29:$D$32,MATCH(T26,'Critérios e pesos'!$A$29:$A$32,0)))</f>
        <v/>
      </c>
      <c r="V26" s="14">
        <f>IF(T26="","",INDEX('Critérios e pesos'!$F$29:$F$32,MATCH(T26,'Critérios e pesos'!$A$29:$A$32,0)))</f>
        <v/>
      </c>
      <c r="W26" s="15">
        <f>IF(OR(AH26="",AJ26=""),"",IF(AI26+AJ26*60&lt;=ROUND('Critérios e pesos'!$C$37*1440,0),INT(AH26)+(AI26+AJ26*60)/1440,WORKDAY(INT(AH26),1+INT((AI26+AJ26*60-ROUND('Critérios e pesos'!$C$37*1440,0)-1)/(ROUND('Critérios e pesos'!$C$37*1440,0)-ROUND('Critérios e pesos'!$C$36*1440,0))))+(ROUND('Critérios e pesos'!$C$36*1440,0)+AI26+AJ26*60-ROUND('Critérios e pesos'!$C$37*1440,0)-INT((AI26+AJ26*60-ROUND('Critérios e pesos'!$C$37*1440,0)-1)/(ROUND('Critérios e pesos'!$C$37*1440,0)-ROUND('Critérios e pesos'!$C$36*1440,0)))*(ROUND('Critérios e pesos'!$C$37*1440,0)-ROUND('Critérios e pesos'!$C$36*1440,0)))/1440))</f>
        <v/>
      </c>
      <c r="X26" s="16" t="n">
        <v>46293.4375</v>
      </c>
      <c r="Y26" s="14">
        <f>IF(W26="","",IF(X26="",IF(NOW()&gt;W26,"Atrasado","Em espera"),IF(X26&lt;=W26,"No prazo","Atrasado")))</f>
        <v/>
      </c>
      <c r="Z26" s="17" t="n"/>
      <c r="AA26" s="14">
        <f>IF($B26="","",IF(OR(T26="X",AD26&lt;&gt;""),0,MAX(0,MIN(Q26,'Critérios e pesos'!$C$38*INT((TODAY()-IF(Z26&lt;&gt;"",Z26,INT($A26)))/7)))))</f>
        <v/>
      </c>
      <c r="AB26" s="14">
        <f>IF($B26="","",MAX(0,S26-AA26))</f>
        <v/>
      </c>
      <c r="AC26" s="9">
        <f>IF($B26="","",IF(T26="X","X",IF(AB26&gt;='Critérios e pesos'!$C$29,"A",IF(AB26&gt;='Critérios e pesos'!$C$30,"B","C"))))</f>
        <v/>
      </c>
      <c r="AD26" s="4" t="n"/>
      <c r="AE26" s="18" t="n"/>
      <c r="AF26" s="6" t="inlineStr">
        <is>
          <t>Empresa no Wyoming</t>
        </is>
      </c>
      <c r="AH26">
        <f>IF($A26="","",IF(OR(WEEKDAY($A26,2)&gt;5,ROUND(MOD($A26,1)*1440,0)&gt;=ROUND('Critérios e pesos'!$C$37*1440,0)),WORKDAY(INT($A26),1)+ROUND('Critérios e pesos'!$C$36*1440,0)/1440,IF(ROUND(MOD($A26,1)*1440,0)&lt;ROUND('Critérios e pesos'!$C$36*1440,0),INT($A26)+ROUND('Critérios e pesos'!$C$36*1440,0)/1440,$A26)))</f>
        <v/>
      </c>
      <c r="AI26">
        <f>IF(AH26="","",ROUND(MOD(AH26,1)*1440,0))</f>
        <v/>
      </c>
      <c r="AJ26">
        <f>IF(T26="","",INDEX('Critérios e pesos'!$E$29:$E$32,MATCH(T26,'Critérios e pesos'!$A$29:$A$32,0)))</f>
        <v/>
      </c>
    </row>
    <row r="27">
      <c r="A27" s="13" t="n">
        <v>46293.46527777778</v>
      </c>
      <c r="B27" s="6" t="inlineStr">
        <is>
          <t>Yuki T.</t>
        </is>
      </c>
      <c r="C27" s="6" t="inlineStr">
        <is>
          <t>Tanaka Architects</t>
        </is>
      </c>
      <c r="D27" s="4" t="inlineStr">
        <is>
          <t>Chat do site</t>
        </is>
      </c>
      <c r="E27" s="4" t="inlineStr">
        <is>
          <t>Claro</t>
        </is>
      </c>
      <c r="F27" s="4" t="inlineStr">
        <is>
          <t>Claro</t>
        </is>
      </c>
      <c r="G27" s="4" t="inlineStr">
        <is>
          <t>Claro</t>
        </is>
      </c>
      <c r="H27" s="4" t="inlineStr">
        <is>
          <t>Claro</t>
        </is>
      </c>
      <c r="I27" s="4" t="inlineStr">
        <is>
          <t>Claro</t>
        </is>
      </c>
      <c r="J27" s="4" t="inlineStr">
        <is>
          <t>Em parte</t>
        </is>
      </c>
      <c r="K27" s="4" t="inlineStr">
        <is>
          <t>Em parte</t>
        </is>
      </c>
      <c r="L27" s="4" t="inlineStr">
        <is>
          <t>Claro</t>
        </is>
      </c>
      <c r="M27" s="4" t="inlineStr">
        <is>
          <t>Não disse</t>
        </is>
      </c>
      <c r="N27" s="6" t="n"/>
      <c r="O27" s="6" t="n"/>
      <c r="P27" s="14">
        <f>IF($B27="","",(E27="Claro")*'Critérios e pesos'!$G$5+(E27="Em parte")*'Critérios e pesos'!$G$5/2+(F27="Claro")*'Critérios e pesos'!$G$6+(F27="Em parte")*'Critérios e pesos'!$G$6/2+(G27="Claro")*'Critérios e pesos'!$G$7+(G27="Em parte")*'Critérios e pesos'!$G$7/2+(H27="Claro")*'Critérios e pesos'!$G$8+(H27="Em parte")*'Critérios e pesos'!$G$8/2)</f>
        <v/>
      </c>
      <c r="Q27" s="14">
        <f>IF($B27="","",(I27="Claro")*'Critérios e pesos'!$G$9+(I27="Em parte")*'Critérios e pesos'!$G$9/2+(J27="Claro")*'Critérios e pesos'!$G$10+(J27="Em parte")*'Critérios e pesos'!$G$10/2+(K27="Claro")*'Critérios e pesos'!$G$11+(K27="Em parte")*'Critérios e pesos'!$G$11/2+(L27="Claro")*'Critérios e pesos'!$G$12+(L27="Em parte")*'Critérios e pesos'!$G$12/2+(M27="Claro")*'Critérios e pesos'!$G$13+(M27="Em parte")*'Critérios e pesos'!$G$13/2)</f>
        <v/>
      </c>
      <c r="R27" s="14">
        <f>IF($B27="","",IFERROR(VLOOKUP(N27,'Critérios e pesos'!$B$17:$C$20,2,FALSE),0))</f>
        <v/>
      </c>
      <c r="S27" s="9">
        <f>IF($B27="","",MAX(0,P27+Q27+R27))</f>
        <v/>
      </c>
      <c r="T27" s="9">
        <f>IF($B27="","",IF(O27&lt;&gt;"","X",IF(S27&gt;='Critérios e pesos'!$C$29,"A",IF(S27&gt;='Critérios e pesos'!$C$30,"B","C"))))</f>
        <v/>
      </c>
      <c r="U27" s="14">
        <f>IF(T27="","",INDEX('Critérios e pesos'!$D$29:$D$32,MATCH(T27,'Critérios e pesos'!$A$29:$A$32,0)))</f>
        <v/>
      </c>
      <c r="V27" s="14">
        <f>IF(T27="","",INDEX('Critérios e pesos'!$F$29:$F$32,MATCH(T27,'Critérios e pesos'!$A$29:$A$32,0)))</f>
        <v/>
      </c>
      <c r="W27" s="15">
        <f>IF(OR(AH27="",AJ27=""),"",IF(AI27+AJ27*60&lt;=ROUND('Critérios e pesos'!$C$37*1440,0),INT(AH27)+(AI27+AJ27*60)/1440,WORKDAY(INT(AH27),1+INT((AI27+AJ27*60-ROUND('Critérios e pesos'!$C$37*1440,0)-1)/(ROUND('Critérios e pesos'!$C$37*1440,0)-ROUND('Critérios e pesos'!$C$36*1440,0))))+(ROUND('Critérios e pesos'!$C$36*1440,0)+AI27+AJ27*60-ROUND('Critérios e pesos'!$C$37*1440,0)-INT((AI27+AJ27*60-ROUND('Critérios e pesos'!$C$37*1440,0)-1)/(ROUND('Critérios e pesos'!$C$37*1440,0)-ROUND('Critérios e pesos'!$C$36*1440,0)))*(ROUND('Critérios e pesos'!$C$37*1440,0)-ROUND('Critérios e pesos'!$C$36*1440,0)))/1440))</f>
        <v/>
      </c>
      <c r="X27" s="16" t="n">
        <v>46293.48263888889</v>
      </c>
      <c r="Y27" s="14">
        <f>IF(W27="","",IF(X27="",IF(NOW()&gt;W27,"Atrasado","Em espera"),IF(X27&lt;=W27,"No prazo","Atrasado")))</f>
        <v/>
      </c>
      <c r="Z27" s="17" t="n">
        <v>46294</v>
      </c>
      <c r="AA27" s="14">
        <f>IF($B27="","",IF(OR(T27="X",AD27&lt;&gt;""),0,MAX(0,MIN(Q27,'Critérios e pesos'!$C$38*INT((TODAY()-IF(Z27&lt;&gt;"",Z27,INT($A27)))/7)))))</f>
        <v/>
      </c>
      <c r="AB27" s="14">
        <f>IF($B27="","",MAX(0,S27-AA27))</f>
        <v/>
      </c>
      <c r="AC27" s="9">
        <f>IF($B27="","",IF(T27="X","X",IF(AB27&gt;='Critérios e pesos'!$C$29,"A",IF(AB27&gt;='Critérios e pesos'!$C$30,"B","C"))))</f>
        <v/>
      </c>
      <c r="AD27" s="4" t="n"/>
      <c r="AE27" s="18" t="n"/>
      <c r="AF27" s="6" t="inlineStr">
        <is>
          <t>Perguntar: orçamento para o fecho do ano</t>
        </is>
      </c>
      <c r="AH27">
        <f>IF($A27="","",IF(OR(WEEKDAY($A27,2)&gt;5,ROUND(MOD($A27,1)*1440,0)&gt;=ROUND('Critérios e pesos'!$C$37*1440,0)),WORKDAY(INT($A27),1)+ROUND('Critérios e pesos'!$C$36*1440,0)/1440,IF(ROUND(MOD($A27,1)*1440,0)&lt;ROUND('Critérios e pesos'!$C$36*1440,0),INT($A27)+ROUND('Critérios e pesos'!$C$36*1440,0)/1440,$A27)))</f>
        <v/>
      </c>
      <c r="AI27">
        <f>IF(AH27="","",ROUND(MOD(AH27,1)*1440,0))</f>
        <v/>
      </c>
      <c r="AJ27">
        <f>IF(T27="","",INDEX('Critérios e pesos'!$E$29:$E$32,MATCH(T27,'Critérios e pesos'!$A$29:$A$32,0)))</f>
        <v/>
      </c>
    </row>
    <row r="28">
      <c r="A28" s="13" t="n">
        <v>46294.41666666666</v>
      </c>
      <c r="B28" s="6" t="inlineStr">
        <is>
          <t>Ahmed Y.</t>
        </is>
      </c>
      <c r="C28" s="6" t="inlineStr">
        <is>
          <t>Yusuf Home Care</t>
        </is>
      </c>
      <c r="D28" s="4" t="inlineStr">
        <is>
          <t>Formulário web</t>
        </is>
      </c>
      <c r="E28" s="4" t="inlineStr">
        <is>
          <t>Claro</t>
        </is>
      </c>
      <c r="F28" s="4" t="inlineStr">
        <is>
          <t>Claro</t>
        </is>
      </c>
      <c r="G28" s="4" t="inlineStr">
        <is>
          <t>Em parte</t>
        </is>
      </c>
      <c r="H28" s="4" t="inlineStr">
        <is>
          <t>Claro</t>
        </is>
      </c>
      <c r="I28" s="4" t="inlineStr">
        <is>
          <t>Em parte</t>
        </is>
      </c>
      <c r="J28" s="4" t="inlineStr">
        <is>
          <t>Não disse</t>
        </is>
      </c>
      <c r="K28" s="4" t="inlineStr">
        <is>
          <t>Não disse</t>
        </is>
      </c>
      <c r="L28" s="4" t="inlineStr">
        <is>
          <t>Em parte</t>
        </is>
      </c>
      <c r="M28" s="4" t="inlineStr">
        <is>
          <t>Não disse</t>
        </is>
      </c>
      <c r="N28" s="6" t="inlineStr">
        <is>
          <t>Só compara preços</t>
        </is>
      </c>
      <c r="O28" s="6" t="n"/>
      <c r="P28" s="14">
        <f>IF($B28="","",(E28="Claro")*'Critérios e pesos'!$G$5+(E28="Em parte")*'Critérios e pesos'!$G$5/2+(F28="Claro")*'Critérios e pesos'!$G$6+(F28="Em parte")*'Critérios e pesos'!$G$6/2+(G28="Claro")*'Critérios e pesos'!$G$7+(G28="Em parte")*'Critérios e pesos'!$G$7/2+(H28="Claro")*'Critérios e pesos'!$G$8+(H28="Em parte")*'Critérios e pesos'!$G$8/2)</f>
        <v/>
      </c>
      <c r="Q28" s="14">
        <f>IF($B28="","",(I28="Claro")*'Critérios e pesos'!$G$9+(I28="Em parte")*'Critérios e pesos'!$G$9/2+(J28="Claro")*'Critérios e pesos'!$G$10+(J28="Em parte")*'Critérios e pesos'!$G$10/2+(K28="Claro")*'Critérios e pesos'!$G$11+(K28="Em parte")*'Critérios e pesos'!$G$11/2+(L28="Claro")*'Critérios e pesos'!$G$12+(L28="Em parte")*'Critérios e pesos'!$G$12/2+(M28="Claro")*'Critérios e pesos'!$G$13+(M28="Em parte")*'Critérios e pesos'!$G$13/2)</f>
        <v/>
      </c>
      <c r="R28" s="14">
        <f>IF($B28="","",IFERROR(VLOOKUP(N28,'Critérios e pesos'!$B$17:$C$20,2,FALSE),0))</f>
        <v/>
      </c>
      <c r="S28" s="9">
        <f>IF($B28="","",MAX(0,P28+Q28+R28))</f>
        <v/>
      </c>
      <c r="T28" s="9">
        <f>IF($B28="","",IF(O28&lt;&gt;"","X",IF(S28&gt;='Critérios e pesos'!$C$29,"A",IF(S28&gt;='Critérios e pesos'!$C$30,"B","C"))))</f>
        <v/>
      </c>
      <c r="U28" s="14">
        <f>IF(T28="","",INDEX('Critérios e pesos'!$D$29:$D$32,MATCH(T28,'Critérios e pesos'!$A$29:$A$32,0)))</f>
        <v/>
      </c>
      <c r="V28" s="14">
        <f>IF(T28="","",INDEX('Critérios e pesos'!$F$29:$F$32,MATCH(T28,'Critérios e pesos'!$A$29:$A$32,0)))</f>
        <v/>
      </c>
      <c r="W28" s="15">
        <f>IF(OR(AH28="",AJ28=""),"",IF(AI28+AJ28*60&lt;=ROUND('Critérios e pesos'!$C$37*1440,0),INT(AH28)+(AI28+AJ28*60)/1440,WORKDAY(INT(AH28),1+INT((AI28+AJ28*60-ROUND('Critérios e pesos'!$C$37*1440,0)-1)/(ROUND('Critérios e pesos'!$C$37*1440,0)-ROUND('Critérios e pesos'!$C$36*1440,0))))+(ROUND('Critérios e pesos'!$C$36*1440,0)+AI28+AJ28*60-ROUND('Critérios e pesos'!$C$37*1440,0)-INT((AI28+AJ28*60-ROUND('Critérios e pesos'!$C$37*1440,0)-1)/(ROUND('Critérios e pesos'!$C$37*1440,0)-ROUND('Critérios e pesos'!$C$36*1440,0)))*(ROUND('Critérios e pesos'!$C$37*1440,0)-ROUND('Critérios e pesos'!$C$36*1440,0)))/1440))</f>
        <v/>
      </c>
      <c r="X28" s="16" t="n">
        <v>46295.40625</v>
      </c>
      <c r="Y28" s="14">
        <f>IF(W28="","",IF(X28="",IF(NOW()&gt;W28,"Atrasado","Em espera"),IF(X28&lt;=W28,"No prazo","Atrasado")))</f>
        <v/>
      </c>
      <c r="Z28" s="17" t="n"/>
      <c r="AA28" s="14">
        <f>IF($B28="","",IF(OR(T28="X",AD28&lt;&gt;""),0,MAX(0,MIN(Q28,'Critérios e pesos'!$C$38*INT((TODAY()-IF(Z28&lt;&gt;"",Z28,INT($A28)))/7)))))</f>
        <v/>
      </c>
      <c r="AB28" s="14">
        <f>IF($B28="","",MAX(0,S28-AA28))</f>
        <v/>
      </c>
      <c r="AC28" s="9">
        <f>IF($B28="","",IF(T28="X","X",IF(AB28&gt;='Critérios e pesos'!$C$29,"A",IF(AB28&gt;='Critérios e pesos'!$C$30,"B","C"))))</f>
        <v/>
      </c>
      <c r="AD28" s="4" t="inlineStr">
        <is>
          <t>Perdido</t>
        </is>
      </c>
      <c r="AE28" s="18" t="n"/>
      <c r="AF28" s="6" t="n"/>
      <c r="AH28">
        <f>IF($A28="","",IF(OR(WEEKDAY($A28,2)&gt;5,ROUND(MOD($A28,1)*1440,0)&gt;=ROUND('Critérios e pesos'!$C$37*1440,0)),WORKDAY(INT($A28),1)+ROUND('Critérios e pesos'!$C$36*1440,0)/1440,IF(ROUND(MOD($A28,1)*1440,0)&lt;ROUND('Critérios e pesos'!$C$36*1440,0),INT($A28)+ROUND('Critérios e pesos'!$C$36*1440,0)/1440,$A28)))</f>
        <v/>
      </c>
      <c r="AI28">
        <f>IF(AH28="","",ROUND(MOD(AH28,1)*1440,0))</f>
        <v/>
      </c>
      <c r="AJ28">
        <f>IF(T28="","",INDEX('Critérios e pesos'!$E$29:$E$32,MATCH(T28,'Critérios e pesos'!$A$29:$A$32,0)))</f>
        <v/>
      </c>
    </row>
    <row r="29">
      <c r="A29" s="13" t="n">
        <v>46295.60069444445</v>
      </c>
      <c r="B29" s="6" t="inlineStr">
        <is>
          <t>Carla M.</t>
        </is>
      </c>
      <c r="C29" s="6" t="inlineStr">
        <is>
          <t>Mendes Bakery</t>
        </is>
      </c>
      <c r="D29" s="4" t="inlineStr">
        <is>
          <t>Chat do site</t>
        </is>
      </c>
      <c r="E29" s="4" t="inlineStr">
        <is>
          <t>Em parte</t>
        </is>
      </c>
      <c r="F29" s="4" t="inlineStr">
        <is>
          <t>Claro</t>
        </is>
      </c>
      <c r="G29" s="4" t="inlineStr">
        <is>
          <t>Claro</t>
        </is>
      </c>
      <c r="H29" s="4" t="inlineStr">
        <is>
          <t>Não disse</t>
        </is>
      </c>
      <c r="I29" s="4" t="inlineStr">
        <is>
          <t>Em parte</t>
        </is>
      </c>
      <c r="J29" s="4" t="inlineStr">
        <is>
          <t>Não disse</t>
        </is>
      </c>
      <c r="K29" s="4" t="inlineStr">
        <is>
          <t>Em parte</t>
        </is>
      </c>
      <c r="L29" s="4" t="inlineStr">
        <is>
          <t>Não disse</t>
        </is>
      </c>
      <c r="M29" s="4" t="inlineStr">
        <is>
          <t>Não disse</t>
        </is>
      </c>
      <c r="N29" s="6" t="n"/>
      <c r="O29" s="6" t="n"/>
      <c r="P29" s="14">
        <f>IF($B29="","",(E29="Claro")*'Critérios e pesos'!$G$5+(E29="Em parte")*'Critérios e pesos'!$G$5/2+(F29="Claro")*'Critérios e pesos'!$G$6+(F29="Em parte")*'Critérios e pesos'!$G$6/2+(G29="Claro")*'Critérios e pesos'!$G$7+(G29="Em parte")*'Critérios e pesos'!$G$7/2+(H29="Claro")*'Critérios e pesos'!$G$8+(H29="Em parte")*'Critérios e pesos'!$G$8/2)</f>
        <v/>
      </c>
      <c r="Q29" s="14">
        <f>IF($B29="","",(I29="Claro")*'Critérios e pesos'!$G$9+(I29="Em parte")*'Critérios e pesos'!$G$9/2+(J29="Claro")*'Critérios e pesos'!$G$10+(J29="Em parte")*'Critérios e pesos'!$G$10/2+(K29="Claro")*'Critérios e pesos'!$G$11+(K29="Em parte")*'Critérios e pesos'!$G$11/2+(L29="Claro")*'Critérios e pesos'!$G$12+(L29="Em parte")*'Critérios e pesos'!$G$12/2+(M29="Claro")*'Critérios e pesos'!$G$13+(M29="Em parte")*'Critérios e pesos'!$G$13/2)</f>
        <v/>
      </c>
      <c r="R29" s="14">
        <f>IF($B29="","",IFERROR(VLOOKUP(N29,'Critérios e pesos'!$B$17:$C$20,2,FALSE),0))</f>
        <v/>
      </c>
      <c r="S29" s="9">
        <f>IF($B29="","",MAX(0,P29+Q29+R29))</f>
        <v/>
      </c>
      <c r="T29" s="9">
        <f>IF($B29="","",IF(O29&lt;&gt;"","X",IF(S29&gt;='Critérios e pesos'!$C$29,"A",IF(S29&gt;='Critérios e pesos'!$C$30,"B","C"))))</f>
        <v/>
      </c>
      <c r="U29" s="14">
        <f>IF(T29="","",INDEX('Critérios e pesos'!$D$29:$D$32,MATCH(T29,'Critérios e pesos'!$A$29:$A$32,0)))</f>
        <v/>
      </c>
      <c r="V29" s="14">
        <f>IF(T29="","",INDEX('Critérios e pesos'!$F$29:$F$32,MATCH(T29,'Critérios e pesos'!$A$29:$A$32,0)))</f>
        <v/>
      </c>
      <c r="W29" s="15">
        <f>IF(OR(AH29="",AJ29=""),"",IF(AI29+AJ29*60&lt;=ROUND('Critérios e pesos'!$C$37*1440,0),INT(AH29)+(AI29+AJ29*60)/1440,WORKDAY(INT(AH29),1+INT((AI29+AJ29*60-ROUND('Critérios e pesos'!$C$37*1440,0)-1)/(ROUND('Critérios e pesos'!$C$37*1440,0)-ROUND('Critérios e pesos'!$C$36*1440,0))))+(ROUND('Critérios e pesos'!$C$36*1440,0)+AI29+AJ29*60-ROUND('Critérios e pesos'!$C$37*1440,0)-INT((AI29+AJ29*60-ROUND('Critérios e pesos'!$C$37*1440,0)-1)/(ROUND('Critérios e pesos'!$C$37*1440,0)-ROUND('Critérios e pesos'!$C$36*1440,0)))*(ROUND('Critérios e pesos'!$C$37*1440,0)-ROUND('Critérios e pesos'!$C$36*1440,0)))/1440))</f>
        <v/>
      </c>
      <c r="X29" s="16" t="n">
        <v>46296.41666666666</v>
      </c>
      <c r="Y29" s="14">
        <f>IF(W29="","",IF(X29="",IF(NOW()&gt;W29,"Atrasado","Em espera"),IF(X29&lt;=W29,"No prazo","Atrasado")))</f>
        <v/>
      </c>
      <c r="Z29" s="17" t="n">
        <v>46295</v>
      </c>
      <c r="AA29" s="14">
        <f>IF($B29="","",IF(OR(T29="X",AD29&lt;&gt;""),0,MAX(0,MIN(Q29,'Critérios e pesos'!$C$38*INT((TODAY()-IF(Z29&lt;&gt;"",Z29,INT($A29)))/7)))))</f>
        <v/>
      </c>
      <c r="AB29" s="14">
        <f>IF($B29="","",MAX(0,S29-AA29))</f>
        <v/>
      </c>
      <c r="AC29" s="9">
        <f>IF($B29="","",IF(T29="X","X",IF(AB29&gt;='Critérios e pesos'!$C$29,"A",IF(AB29&gt;='Critérios e pesos'!$C$30,"B","C"))))</f>
        <v/>
      </c>
      <c r="AD29" s="4" t="n"/>
      <c r="AE29" s="18" t="n"/>
      <c r="AF29" s="6" t="inlineStr">
        <is>
          <t>Voltar a contactar a 30 de outubro</t>
        </is>
      </c>
      <c r="AH29">
        <f>IF($A29="","",IF(OR(WEEKDAY($A29,2)&gt;5,ROUND(MOD($A29,1)*1440,0)&gt;=ROUND('Critérios e pesos'!$C$37*1440,0)),WORKDAY(INT($A29),1)+ROUND('Critérios e pesos'!$C$36*1440,0)/1440,IF(ROUND(MOD($A29,1)*1440,0)&lt;ROUND('Critérios e pesos'!$C$36*1440,0),INT($A29)+ROUND('Critérios e pesos'!$C$36*1440,0)/1440,$A29)))</f>
        <v/>
      </c>
      <c r="AI29">
        <f>IF(AH29="","",ROUND(MOD(AH29,1)*1440,0))</f>
        <v/>
      </c>
      <c r="AJ29">
        <f>IF(T29="","",INDEX('Critérios e pesos'!$E$29:$E$32,MATCH(T29,'Critérios e pesos'!$A$29:$A$32,0)))</f>
        <v/>
      </c>
    </row>
    <row r="30">
      <c r="A30" s="13" t="n">
        <v>46296.39930555555</v>
      </c>
      <c r="B30" s="6" t="inlineStr">
        <is>
          <t>Ian B.</t>
        </is>
      </c>
      <c r="C30" s="6" t="inlineStr">
        <is>
          <t>Brooks HVAC</t>
        </is>
      </c>
      <c r="D30" s="4" t="inlineStr">
        <is>
          <t>Telefone</t>
        </is>
      </c>
      <c r="E30" s="4" t="inlineStr">
        <is>
          <t>Claro</t>
        </is>
      </c>
      <c r="F30" s="4" t="inlineStr">
        <is>
          <t>Claro</t>
        </is>
      </c>
      <c r="G30" s="4" t="inlineStr">
        <is>
          <t>Claro</t>
        </is>
      </c>
      <c r="H30" s="4" t="inlineStr">
        <is>
          <t>Claro</t>
        </is>
      </c>
      <c r="I30" s="4" t="inlineStr">
        <is>
          <t>Claro</t>
        </is>
      </c>
      <c r="J30" s="4" t="inlineStr">
        <is>
          <t>Em parte</t>
        </is>
      </c>
      <c r="K30" s="4" t="inlineStr">
        <is>
          <t>Em parte</t>
        </is>
      </c>
      <c r="L30" s="4" t="inlineStr">
        <is>
          <t>Claro</t>
        </is>
      </c>
      <c r="M30" s="4" t="inlineStr">
        <is>
          <t>Claro</t>
        </is>
      </c>
      <c r="N30" s="6" t="inlineStr">
        <is>
          <t>Condições que não oferecemos</t>
        </is>
      </c>
      <c r="O30" s="6" t="n"/>
      <c r="P30" s="14">
        <f>IF($B30="","",(E30="Claro")*'Critérios e pesos'!$G$5+(E30="Em parte")*'Critérios e pesos'!$G$5/2+(F30="Claro")*'Critérios e pesos'!$G$6+(F30="Em parte")*'Critérios e pesos'!$G$6/2+(G30="Claro")*'Critérios e pesos'!$G$7+(G30="Em parte")*'Critérios e pesos'!$G$7/2+(H30="Claro")*'Critérios e pesos'!$G$8+(H30="Em parte")*'Critérios e pesos'!$G$8/2)</f>
        <v/>
      </c>
      <c r="Q30" s="14">
        <f>IF($B30="","",(I30="Claro")*'Critérios e pesos'!$G$9+(I30="Em parte")*'Critérios e pesos'!$G$9/2+(J30="Claro")*'Critérios e pesos'!$G$10+(J30="Em parte")*'Critérios e pesos'!$G$10/2+(K30="Claro")*'Critérios e pesos'!$G$11+(K30="Em parte")*'Critérios e pesos'!$G$11/2+(L30="Claro")*'Critérios e pesos'!$G$12+(L30="Em parte")*'Critérios e pesos'!$G$12/2+(M30="Claro")*'Critérios e pesos'!$G$13+(M30="Em parte")*'Critérios e pesos'!$G$13/2)</f>
        <v/>
      </c>
      <c r="R30" s="14">
        <f>IF($B30="","",IFERROR(VLOOKUP(N30,'Critérios e pesos'!$B$17:$C$20,2,FALSE),0))</f>
        <v/>
      </c>
      <c r="S30" s="9">
        <f>IF($B30="","",MAX(0,P30+Q30+R30))</f>
        <v/>
      </c>
      <c r="T30" s="9">
        <f>IF($B30="","",IF(O30&lt;&gt;"","X",IF(S30&gt;='Critérios e pesos'!$C$29,"A",IF(S30&gt;='Critérios e pesos'!$C$30,"B","C"))))</f>
        <v/>
      </c>
      <c r="U30" s="14">
        <f>IF(T30="","",INDEX('Critérios e pesos'!$D$29:$D$32,MATCH(T30,'Critérios e pesos'!$A$29:$A$32,0)))</f>
        <v/>
      </c>
      <c r="V30" s="14">
        <f>IF(T30="","",INDEX('Critérios e pesos'!$F$29:$F$32,MATCH(T30,'Critérios e pesos'!$A$29:$A$32,0)))</f>
        <v/>
      </c>
      <c r="W30" s="15">
        <f>IF(OR(AH30="",AJ30=""),"",IF(AI30+AJ30*60&lt;=ROUND('Critérios e pesos'!$C$37*1440,0),INT(AH30)+(AI30+AJ30*60)/1440,WORKDAY(INT(AH30),1+INT((AI30+AJ30*60-ROUND('Critérios e pesos'!$C$37*1440,0)-1)/(ROUND('Critérios e pesos'!$C$37*1440,0)-ROUND('Critérios e pesos'!$C$36*1440,0))))+(ROUND('Critérios e pesos'!$C$36*1440,0)+AI30+AJ30*60-ROUND('Critérios e pesos'!$C$37*1440,0)-INT((AI30+AJ30*60-ROUND('Critérios e pesos'!$C$37*1440,0)-1)/(ROUND('Critérios e pesos'!$C$37*1440,0)-ROUND('Critérios e pesos'!$C$36*1440,0)))*(ROUND('Critérios e pesos'!$C$37*1440,0)-ROUND('Critérios e pesos'!$C$36*1440,0)))/1440))</f>
        <v/>
      </c>
      <c r="X30" s="16" t="n">
        <v>46296.40972222222</v>
      </c>
      <c r="Y30" s="14">
        <f>IF(W30="","",IF(X30="",IF(NOW()&gt;W30,"Atrasado","Em espera"),IF(X30&lt;=W30,"No prazo","Atrasado")))</f>
        <v/>
      </c>
      <c r="Z30" s="17" t="n"/>
      <c r="AA30" s="14">
        <f>IF($B30="","",IF(OR(T30="X",AD30&lt;&gt;""),0,MAX(0,MIN(Q30,'Critérios e pesos'!$C$38*INT((TODAY()-IF(Z30&lt;&gt;"",Z30,INT($A30)))/7)))))</f>
        <v/>
      </c>
      <c r="AB30" s="14">
        <f>IF($B30="","",MAX(0,S30-AA30))</f>
        <v/>
      </c>
      <c r="AC30" s="9">
        <f>IF($B30="","",IF(T30="X","X",IF(AB30&gt;='Critérios e pesos'!$C$29,"A",IF(AB30&gt;='Critérios e pesos'!$C$30,"B","C"))))</f>
        <v/>
      </c>
      <c r="AD30" s="4" t="inlineStr">
        <is>
          <t>Perdido</t>
        </is>
      </c>
      <c r="AE30" s="18" t="n"/>
      <c r="AF30" s="6" t="inlineStr">
        <is>
          <t>Queria um preço fixo antes de vermos as contas</t>
        </is>
      </c>
      <c r="AH30">
        <f>IF($A30="","",IF(OR(WEEKDAY($A30,2)&gt;5,ROUND(MOD($A30,1)*1440,0)&gt;=ROUND('Critérios e pesos'!$C$37*1440,0)),WORKDAY(INT($A30),1)+ROUND('Critérios e pesos'!$C$36*1440,0)/1440,IF(ROUND(MOD($A30,1)*1440,0)&lt;ROUND('Critérios e pesos'!$C$36*1440,0),INT($A30)+ROUND('Critérios e pesos'!$C$36*1440,0)/1440,$A30)))</f>
        <v/>
      </c>
      <c r="AI30">
        <f>IF(AH30="","",ROUND(MOD(AH30,1)*1440,0))</f>
        <v/>
      </c>
      <c r="AJ30">
        <f>IF(T30="","",INDEX('Critérios e pesos'!$E$29:$E$32,MATCH(T30,'Critérios e pesos'!$A$29:$A$32,0)))</f>
        <v/>
      </c>
    </row>
    <row r="31">
      <c r="A31" s="13" t="n">
        <v>46301.42638888889</v>
      </c>
      <c r="B31" s="6" t="inlineStr">
        <is>
          <t>Marisol V.</t>
        </is>
      </c>
      <c r="C31" s="6" t="inlineStr">
        <is>
          <t>Tallgrass Signs</t>
        </is>
      </c>
      <c r="D31" s="4" t="inlineStr">
        <is>
          <t>Chat do site</t>
        </is>
      </c>
      <c r="E31" s="4" t="inlineStr">
        <is>
          <t>Claro</t>
        </is>
      </c>
      <c r="F31" s="4" t="inlineStr">
        <is>
          <t>Claro</t>
        </is>
      </c>
      <c r="G31" s="4" t="inlineStr">
        <is>
          <t>Claro</t>
        </is>
      </c>
      <c r="H31" s="4" t="inlineStr">
        <is>
          <t>Em parte</t>
        </is>
      </c>
      <c r="I31" s="4" t="inlineStr">
        <is>
          <t>Claro</t>
        </is>
      </c>
      <c r="J31" s="4" t="inlineStr">
        <is>
          <t>Claro</t>
        </is>
      </c>
      <c r="K31" s="4" t="inlineStr">
        <is>
          <t>Em parte</t>
        </is>
      </c>
      <c r="L31" s="4" t="inlineStr">
        <is>
          <t>Em parte</t>
        </is>
      </c>
      <c r="M31" s="4" t="inlineStr">
        <is>
          <t>Claro</t>
        </is>
      </c>
      <c r="N31" s="6" t="n"/>
      <c r="O31" s="6" t="n"/>
      <c r="P31" s="14">
        <f>IF($B31="","",(E31="Claro")*'Critérios e pesos'!$G$5+(E31="Em parte")*'Critérios e pesos'!$G$5/2+(F31="Claro")*'Critérios e pesos'!$G$6+(F31="Em parte")*'Critérios e pesos'!$G$6/2+(G31="Claro")*'Critérios e pesos'!$G$7+(G31="Em parte")*'Critérios e pesos'!$G$7/2+(H31="Claro")*'Critérios e pesos'!$G$8+(H31="Em parte")*'Critérios e pesos'!$G$8/2)</f>
        <v/>
      </c>
      <c r="Q31" s="14">
        <f>IF($B31="","",(I31="Claro")*'Critérios e pesos'!$G$9+(I31="Em parte")*'Critérios e pesos'!$G$9/2+(J31="Claro")*'Critérios e pesos'!$G$10+(J31="Em parte")*'Critérios e pesos'!$G$10/2+(K31="Claro")*'Critérios e pesos'!$G$11+(K31="Em parte")*'Critérios e pesos'!$G$11/2+(L31="Claro")*'Critérios e pesos'!$G$12+(L31="Em parte")*'Critérios e pesos'!$G$12/2+(M31="Claro")*'Critérios e pesos'!$G$13+(M31="Em parte")*'Critérios e pesos'!$G$13/2)</f>
        <v/>
      </c>
      <c r="R31" s="14">
        <f>IF($B31="","",IFERROR(VLOOKUP(N31,'Critérios e pesos'!$B$17:$C$20,2,FALSE),0))</f>
        <v/>
      </c>
      <c r="S31" s="9">
        <f>IF($B31="","",MAX(0,P31+Q31+R31))</f>
        <v/>
      </c>
      <c r="T31" s="9">
        <f>IF($B31="","",IF(O31&lt;&gt;"","X",IF(S31&gt;='Critérios e pesos'!$C$29,"A",IF(S31&gt;='Critérios e pesos'!$C$30,"B","C"))))</f>
        <v/>
      </c>
      <c r="U31" s="14">
        <f>IF(T31="","",INDEX('Critérios e pesos'!$D$29:$D$32,MATCH(T31,'Critérios e pesos'!$A$29:$A$32,0)))</f>
        <v/>
      </c>
      <c r="V31" s="14">
        <f>IF(T31="","",INDEX('Critérios e pesos'!$F$29:$F$32,MATCH(T31,'Critérios e pesos'!$A$29:$A$32,0)))</f>
        <v/>
      </c>
      <c r="W31" s="15">
        <f>IF(OR(AH31="",AJ31=""),"",IF(AI31+AJ31*60&lt;=ROUND('Critérios e pesos'!$C$37*1440,0),INT(AH31)+(AI31+AJ31*60)/1440,WORKDAY(INT(AH31),1+INT((AI31+AJ31*60-ROUND('Critérios e pesos'!$C$37*1440,0)-1)/(ROUND('Critérios e pesos'!$C$37*1440,0)-ROUND('Critérios e pesos'!$C$36*1440,0))))+(ROUND('Critérios e pesos'!$C$36*1440,0)+AI31+AJ31*60-ROUND('Critérios e pesos'!$C$37*1440,0)-INT((AI31+AJ31*60-ROUND('Critérios e pesos'!$C$37*1440,0)-1)/(ROUND('Critérios e pesos'!$C$37*1440,0)-ROUND('Critérios e pesos'!$C$36*1440,0)))*(ROUND('Critérios e pesos'!$C$37*1440,0)-ROUND('Critérios e pesos'!$C$36*1440,0)))/1440))</f>
        <v/>
      </c>
      <c r="X31" s="16" t="n">
        <v>46301.44513888889</v>
      </c>
      <c r="Y31" s="14">
        <f>IF(W31="","",IF(X31="",IF(NOW()&gt;W31,"Atrasado","Em espera"),IF(X31&lt;=W31,"No prazo","Atrasado")))</f>
        <v/>
      </c>
      <c r="Z31" s="17" t="n">
        <v>46301</v>
      </c>
      <c r="AA31" s="14">
        <f>IF($B31="","",IF(OR(T31="X",AD31&lt;&gt;""),0,MAX(0,MIN(Q31,'Critérios e pesos'!$C$38*INT((TODAY()-IF(Z31&lt;&gt;"",Z31,INT($A31)))/7)))))</f>
        <v/>
      </c>
      <c r="AB31" s="14">
        <f>IF($B31="","",MAX(0,S31-AA31))</f>
        <v/>
      </c>
      <c r="AC31" s="9">
        <f>IF($B31="","",IF(T31="X","X",IF(AB31&gt;='Critérios e pesos'!$C$29,"A",IF(AB31&gt;='Critérios e pesos'!$C$30,"B","C"))))</f>
        <v/>
      </c>
      <c r="AD31" s="4" t="n"/>
      <c r="AE31" s="18" t="n"/>
      <c r="AF31" s="6" t="inlineStr">
        <is>
          <t>Perguntar: orçamento da regularização, o Greg na chamada, QuickBooks Online, quantas pessoas no processamento salarial. Chamada na quinta-feira, 8 de outubro, às 10:00</t>
        </is>
      </c>
      <c r="AH31">
        <f>IF($A31="","",IF(OR(WEEKDAY($A31,2)&gt;5,ROUND(MOD($A31,1)*1440,0)&gt;=ROUND('Critérios e pesos'!$C$37*1440,0)),WORKDAY(INT($A31),1)+ROUND('Critérios e pesos'!$C$36*1440,0)/1440,IF(ROUND(MOD($A31,1)*1440,0)&lt;ROUND('Critérios e pesos'!$C$36*1440,0),INT($A31)+ROUND('Critérios e pesos'!$C$36*1440,0)/1440,$A31)))</f>
        <v/>
      </c>
      <c r="AI31">
        <f>IF(AH31="","",ROUND(MOD(AH31,1)*1440,0))</f>
        <v/>
      </c>
      <c r="AJ31">
        <f>IF(T31="","",INDEX('Critérios e pesos'!$E$29:$E$32,MATCH(T31,'Critérios e pesos'!$A$29:$A$32,0)))</f>
        <v/>
      </c>
    </row>
    <row r="32">
      <c r="A32" s="13" t="n"/>
      <c r="B32" s="6" t="n"/>
      <c r="C32" s="6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6" t="n"/>
      <c r="O32" s="6" t="n"/>
      <c r="P32" s="14">
        <f>IF($B32="","",(E32="Claro")*'Critérios e pesos'!$G$5+(E32="Em parte")*'Critérios e pesos'!$G$5/2+(F32="Claro")*'Critérios e pesos'!$G$6+(F32="Em parte")*'Critérios e pesos'!$G$6/2+(G32="Claro")*'Critérios e pesos'!$G$7+(G32="Em parte")*'Critérios e pesos'!$G$7/2+(H32="Claro")*'Critérios e pesos'!$G$8+(H32="Em parte")*'Critérios e pesos'!$G$8/2)</f>
        <v/>
      </c>
      <c r="Q32" s="14">
        <f>IF($B32="","",(I32="Claro")*'Critérios e pesos'!$G$9+(I32="Em parte")*'Critérios e pesos'!$G$9/2+(J32="Claro")*'Critérios e pesos'!$G$10+(J32="Em parte")*'Critérios e pesos'!$G$10/2+(K32="Claro")*'Critérios e pesos'!$G$11+(K32="Em parte")*'Critérios e pesos'!$G$11/2+(L32="Claro")*'Critérios e pesos'!$G$12+(L32="Em parte")*'Critérios e pesos'!$G$12/2+(M32="Claro")*'Critérios e pesos'!$G$13+(M32="Em parte")*'Critérios e pesos'!$G$13/2)</f>
        <v/>
      </c>
      <c r="R32" s="14">
        <f>IF($B32="","",IFERROR(VLOOKUP(N32,'Critérios e pesos'!$B$17:$C$20,2,FALSE),0))</f>
        <v/>
      </c>
      <c r="S32" s="9">
        <f>IF($B32="","",MAX(0,P32+Q32+R32))</f>
        <v/>
      </c>
      <c r="T32" s="9">
        <f>IF($B32="","",IF(O32&lt;&gt;"","X",IF(S32&gt;='Critérios e pesos'!$C$29,"A",IF(S32&gt;='Critérios e pesos'!$C$30,"B","C"))))</f>
        <v/>
      </c>
      <c r="U32" s="14">
        <f>IF(T32="","",INDEX('Critérios e pesos'!$D$29:$D$32,MATCH(T32,'Critérios e pesos'!$A$29:$A$32,0)))</f>
        <v/>
      </c>
      <c r="V32" s="14">
        <f>IF(T32="","",INDEX('Critérios e pesos'!$F$29:$F$32,MATCH(T32,'Critérios e pesos'!$A$29:$A$32,0)))</f>
        <v/>
      </c>
      <c r="W32" s="15">
        <f>IF(OR(AH32="",AJ32=""),"",IF(AI32+AJ32*60&lt;=ROUND('Critérios e pesos'!$C$37*1440,0),INT(AH32)+(AI32+AJ32*60)/1440,WORKDAY(INT(AH32),1+INT((AI32+AJ32*60-ROUND('Critérios e pesos'!$C$37*1440,0)-1)/(ROUND('Critérios e pesos'!$C$37*1440,0)-ROUND('Critérios e pesos'!$C$36*1440,0))))+(ROUND('Critérios e pesos'!$C$36*1440,0)+AI32+AJ32*60-ROUND('Critérios e pesos'!$C$37*1440,0)-INT((AI32+AJ32*60-ROUND('Critérios e pesos'!$C$37*1440,0)-1)/(ROUND('Critérios e pesos'!$C$37*1440,0)-ROUND('Critérios e pesos'!$C$36*1440,0)))*(ROUND('Critérios e pesos'!$C$37*1440,0)-ROUND('Critérios e pesos'!$C$36*1440,0)))/1440))</f>
        <v/>
      </c>
      <c r="X32" s="16" t="n"/>
      <c r="Y32" s="14">
        <f>IF(W32="","",IF(X32="",IF(NOW()&gt;W32,"Atrasado","Em espera"),IF(X32&lt;=W32,"No prazo","Atrasado")))</f>
        <v/>
      </c>
      <c r="Z32" s="17" t="n"/>
      <c r="AA32" s="14">
        <f>IF($B32="","",IF(OR(T32="X",AD32&lt;&gt;""),0,MAX(0,MIN(Q32,'Critérios e pesos'!$C$38*INT((TODAY()-IF(Z32&lt;&gt;"",Z32,INT($A32)))/7)))))</f>
        <v/>
      </c>
      <c r="AB32" s="14">
        <f>IF($B32="","",MAX(0,S32-AA32))</f>
        <v/>
      </c>
      <c r="AC32" s="9">
        <f>IF($B32="","",IF(T32="X","X",IF(AB32&gt;='Critérios e pesos'!$C$29,"A",IF(AB32&gt;='Critérios e pesos'!$C$30,"B","C"))))</f>
        <v/>
      </c>
      <c r="AD32" s="4" t="n"/>
      <c r="AE32" s="18" t="n"/>
      <c r="AF32" s="6" t="n"/>
      <c r="AH32">
        <f>IF($A32="","",IF(OR(WEEKDAY($A32,2)&gt;5,ROUND(MOD($A32,1)*1440,0)&gt;=ROUND('Critérios e pesos'!$C$37*1440,0)),WORKDAY(INT($A32),1)+ROUND('Critérios e pesos'!$C$36*1440,0)/1440,IF(ROUND(MOD($A32,1)*1440,0)&lt;ROUND('Critérios e pesos'!$C$36*1440,0),INT($A32)+ROUND('Critérios e pesos'!$C$36*1440,0)/1440,$A32)))</f>
        <v/>
      </c>
      <c r="AI32">
        <f>IF(AH32="","",ROUND(MOD(AH32,1)*1440,0))</f>
        <v/>
      </c>
      <c r="AJ32">
        <f>IF(T32="","",INDEX('Critérios e pesos'!$E$29:$E$32,MATCH(T32,'Critérios e pesos'!$A$29:$A$32,0)))</f>
        <v/>
      </c>
    </row>
    <row r="33">
      <c r="A33" s="13" t="n"/>
      <c r="B33" s="6" t="n"/>
      <c r="C33" s="6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6" t="n"/>
      <c r="O33" s="6" t="n"/>
      <c r="P33" s="14">
        <f>IF($B33="","",(E33="Claro")*'Critérios e pesos'!$G$5+(E33="Em parte")*'Critérios e pesos'!$G$5/2+(F33="Claro")*'Critérios e pesos'!$G$6+(F33="Em parte")*'Critérios e pesos'!$G$6/2+(G33="Claro")*'Critérios e pesos'!$G$7+(G33="Em parte")*'Critérios e pesos'!$G$7/2+(H33="Claro")*'Critérios e pesos'!$G$8+(H33="Em parte")*'Critérios e pesos'!$G$8/2)</f>
        <v/>
      </c>
      <c r="Q33" s="14">
        <f>IF($B33="","",(I33="Claro")*'Critérios e pesos'!$G$9+(I33="Em parte")*'Critérios e pesos'!$G$9/2+(J33="Claro")*'Critérios e pesos'!$G$10+(J33="Em parte")*'Critérios e pesos'!$G$10/2+(K33="Claro")*'Critérios e pesos'!$G$11+(K33="Em parte")*'Critérios e pesos'!$G$11/2+(L33="Claro")*'Critérios e pesos'!$G$12+(L33="Em parte")*'Critérios e pesos'!$G$12/2+(M33="Claro")*'Critérios e pesos'!$G$13+(M33="Em parte")*'Critérios e pesos'!$G$13/2)</f>
        <v/>
      </c>
      <c r="R33" s="14">
        <f>IF($B33="","",IFERROR(VLOOKUP(N33,'Critérios e pesos'!$B$17:$C$20,2,FALSE),0))</f>
        <v/>
      </c>
      <c r="S33" s="9">
        <f>IF($B33="","",MAX(0,P33+Q33+R33))</f>
        <v/>
      </c>
      <c r="T33" s="9">
        <f>IF($B33="","",IF(O33&lt;&gt;"","X",IF(S33&gt;='Critérios e pesos'!$C$29,"A",IF(S33&gt;='Critérios e pesos'!$C$30,"B","C"))))</f>
        <v/>
      </c>
      <c r="U33" s="14">
        <f>IF(T33="","",INDEX('Critérios e pesos'!$D$29:$D$32,MATCH(T33,'Critérios e pesos'!$A$29:$A$32,0)))</f>
        <v/>
      </c>
      <c r="V33" s="14">
        <f>IF(T33="","",INDEX('Critérios e pesos'!$F$29:$F$32,MATCH(T33,'Critérios e pesos'!$A$29:$A$32,0)))</f>
        <v/>
      </c>
      <c r="W33" s="15">
        <f>IF(OR(AH33="",AJ33=""),"",IF(AI33+AJ33*60&lt;=ROUND('Critérios e pesos'!$C$37*1440,0),INT(AH33)+(AI33+AJ33*60)/1440,WORKDAY(INT(AH33),1+INT((AI33+AJ33*60-ROUND('Critérios e pesos'!$C$37*1440,0)-1)/(ROUND('Critérios e pesos'!$C$37*1440,0)-ROUND('Critérios e pesos'!$C$36*1440,0))))+(ROUND('Critérios e pesos'!$C$36*1440,0)+AI33+AJ33*60-ROUND('Critérios e pesos'!$C$37*1440,0)-INT((AI33+AJ33*60-ROUND('Critérios e pesos'!$C$37*1440,0)-1)/(ROUND('Critérios e pesos'!$C$37*1440,0)-ROUND('Critérios e pesos'!$C$36*1440,0)))*(ROUND('Critérios e pesos'!$C$37*1440,0)-ROUND('Critérios e pesos'!$C$36*1440,0)))/1440))</f>
        <v/>
      </c>
      <c r="X33" s="16" t="n"/>
      <c r="Y33" s="14">
        <f>IF(W33="","",IF(X33="",IF(NOW()&gt;W33,"Atrasado","Em espera"),IF(X33&lt;=W33,"No prazo","Atrasado")))</f>
        <v/>
      </c>
      <c r="Z33" s="17" t="n"/>
      <c r="AA33" s="14">
        <f>IF($B33="","",IF(OR(T33="X",AD33&lt;&gt;""),0,MAX(0,MIN(Q33,'Critérios e pesos'!$C$38*INT((TODAY()-IF(Z33&lt;&gt;"",Z33,INT($A33)))/7)))))</f>
        <v/>
      </c>
      <c r="AB33" s="14">
        <f>IF($B33="","",MAX(0,S33-AA33))</f>
        <v/>
      </c>
      <c r="AC33" s="9">
        <f>IF($B33="","",IF(T33="X","X",IF(AB33&gt;='Critérios e pesos'!$C$29,"A",IF(AB33&gt;='Critérios e pesos'!$C$30,"B","C"))))</f>
        <v/>
      </c>
      <c r="AD33" s="4" t="n"/>
      <c r="AE33" s="18" t="n"/>
      <c r="AF33" s="6" t="n"/>
      <c r="AH33">
        <f>IF($A33="","",IF(OR(WEEKDAY($A33,2)&gt;5,ROUND(MOD($A33,1)*1440,0)&gt;=ROUND('Critérios e pesos'!$C$37*1440,0)),WORKDAY(INT($A33),1)+ROUND('Critérios e pesos'!$C$36*1440,0)/1440,IF(ROUND(MOD($A33,1)*1440,0)&lt;ROUND('Critérios e pesos'!$C$36*1440,0),INT($A33)+ROUND('Critérios e pesos'!$C$36*1440,0)/1440,$A33)))</f>
        <v/>
      </c>
      <c r="AI33">
        <f>IF(AH33="","",ROUND(MOD(AH33,1)*1440,0))</f>
        <v/>
      </c>
      <c r="AJ33">
        <f>IF(T33="","",INDEX('Critérios e pesos'!$E$29:$E$32,MATCH(T33,'Critérios e pesos'!$A$29:$A$32,0)))</f>
        <v/>
      </c>
    </row>
    <row r="34">
      <c r="A34" s="13" t="n"/>
      <c r="B34" s="6" t="n"/>
      <c r="C34" s="6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6" t="n"/>
      <c r="O34" s="6" t="n"/>
      <c r="P34" s="14">
        <f>IF($B34="","",(E34="Claro")*'Critérios e pesos'!$G$5+(E34="Em parte")*'Critérios e pesos'!$G$5/2+(F34="Claro")*'Critérios e pesos'!$G$6+(F34="Em parte")*'Critérios e pesos'!$G$6/2+(G34="Claro")*'Critérios e pesos'!$G$7+(G34="Em parte")*'Critérios e pesos'!$G$7/2+(H34="Claro")*'Critérios e pesos'!$G$8+(H34="Em parte")*'Critérios e pesos'!$G$8/2)</f>
        <v/>
      </c>
      <c r="Q34" s="14">
        <f>IF($B34="","",(I34="Claro")*'Critérios e pesos'!$G$9+(I34="Em parte")*'Critérios e pesos'!$G$9/2+(J34="Claro")*'Critérios e pesos'!$G$10+(J34="Em parte")*'Critérios e pesos'!$G$10/2+(K34="Claro")*'Critérios e pesos'!$G$11+(K34="Em parte")*'Critérios e pesos'!$G$11/2+(L34="Claro")*'Critérios e pesos'!$G$12+(L34="Em parte")*'Critérios e pesos'!$G$12/2+(M34="Claro")*'Critérios e pesos'!$G$13+(M34="Em parte")*'Critérios e pesos'!$G$13/2)</f>
        <v/>
      </c>
      <c r="R34" s="14">
        <f>IF($B34="","",IFERROR(VLOOKUP(N34,'Critérios e pesos'!$B$17:$C$20,2,FALSE),0))</f>
        <v/>
      </c>
      <c r="S34" s="9">
        <f>IF($B34="","",MAX(0,P34+Q34+R34))</f>
        <v/>
      </c>
      <c r="T34" s="9">
        <f>IF($B34="","",IF(O34&lt;&gt;"","X",IF(S34&gt;='Critérios e pesos'!$C$29,"A",IF(S34&gt;='Critérios e pesos'!$C$30,"B","C"))))</f>
        <v/>
      </c>
      <c r="U34" s="14">
        <f>IF(T34="","",INDEX('Critérios e pesos'!$D$29:$D$32,MATCH(T34,'Critérios e pesos'!$A$29:$A$32,0)))</f>
        <v/>
      </c>
      <c r="V34" s="14">
        <f>IF(T34="","",INDEX('Critérios e pesos'!$F$29:$F$32,MATCH(T34,'Critérios e pesos'!$A$29:$A$32,0)))</f>
        <v/>
      </c>
      <c r="W34" s="15">
        <f>IF(OR(AH34="",AJ34=""),"",IF(AI34+AJ34*60&lt;=ROUND('Critérios e pesos'!$C$37*1440,0),INT(AH34)+(AI34+AJ34*60)/1440,WORKDAY(INT(AH34),1+INT((AI34+AJ34*60-ROUND('Critérios e pesos'!$C$37*1440,0)-1)/(ROUND('Critérios e pesos'!$C$37*1440,0)-ROUND('Critérios e pesos'!$C$36*1440,0))))+(ROUND('Critérios e pesos'!$C$36*1440,0)+AI34+AJ34*60-ROUND('Critérios e pesos'!$C$37*1440,0)-INT((AI34+AJ34*60-ROUND('Critérios e pesos'!$C$37*1440,0)-1)/(ROUND('Critérios e pesos'!$C$37*1440,0)-ROUND('Critérios e pesos'!$C$36*1440,0)))*(ROUND('Critérios e pesos'!$C$37*1440,0)-ROUND('Critérios e pesos'!$C$36*1440,0)))/1440))</f>
        <v/>
      </c>
      <c r="X34" s="16" t="n"/>
      <c r="Y34" s="14">
        <f>IF(W34="","",IF(X34="",IF(NOW()&gt;W34,"Atrasado","Em espera"),IF(X34&lt;=W34,"No prazo","Atrasado")))</f>
        <v/>
      </c>
      <c r="Z34" s="17" t="n"/>
      <c r="AA34" s="14">
        <f>IF($B34="","",IF(OR(T34="X",AD34&lt;&gt;""),0,MAX(0,MIN(Q34,'Critérios e pesos'!$C$38*INT((TODAY()-IF(Z34&lt;&gt;"",Z34,INT($A34)))/7)))))</f>
        <v/>
      </c>
      <c r="AB34" s="14">
        <f>IF($B34="","",MAX(0,S34-AA34))</f>
        <v/>
      </c>
      <c r="AC34" s="9">
        <f>IF($B34="","",IF(T34="X","X",IF(AB34&gt;='Critérios e pesos'!$C$29,"A",IF(AB34&gt;='Critérios e pesos'!$C$30,"B","C"))))</f>
        <v/>
      </c>
      <c r="AD34" s="4" t="n"/>
      <c r="AE34" s="18" t="n"/>
      <c r="AF34" s="6" t="n"/>
      <c r="AH34">
        <f>IF($A34="","",IF(OR(WEEKDAY($A34,2)&gt;5,ROUND(MOD($A34,1)*1440,0)&gt;=ROUND('Critérios e pesos'!$C$37*1440,0)),WORKDAY(INT($A34),1)+ROUND('Critérios e pesos'!$C$36*1440,0)/1440,IF(ROUND(MOD($A34,1)*1440,0)&lt;ROUND('Critérios e pesos'!$C$36*1440,0),INT($A34)+ROUND('Critérios e pesos'!$C$36*1440,0)/1440,$A34)))</f>
        <v/>
      </c>
      <c r="AI34">
        <f>IF(AH34="","",ROUND(MOD(AH34,1)*1440,0))</f>
        <v/>
      </c>
      <c r="AJ34">
        <f>IF(T34="","",INDEX('Critérios e pesos'!$E$29:$E$32,MATCH(T34,'Critérios e pesos'!$A$29:$A$32,0)))</f>
        <v/>
      </c>
    </row>
    <row r="35">
      <c r="A35" s="13" t="n"/>
      <c r="B35" s="6" t="n"/>
      <c r="C35" s="6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6" t="n"/>
      <c r="O35" s="6" t="n"/>
      <c r="P35" s="14">
        <f>IF($B35="","",(E35="Claro")*'Critérios e pesos'!$G$5+(E35="Em parte")*'Critérios e pesos'!$G$5/2+(F35="Claro")*'Critérios e pesos'!$G$6+(F35="Em parte")*'Critérios e pesos'!$G$6/2+(G35="Claro")*'Critérios e pesos'!$G$7+(G35="Em parte")*'Critérios e pesos'!$G$7/2+(H35="Claro")*'Critérios e pesos'!$G$8+(H35="Em parte")*'Critérios e pesos'!$G$8/2)</f>
        <v/>
      </c>
      <c r="Q35" s="14">
        <f>IF($B35="","",(I35="Claro")*'Critérios e pesos'!$G$9+(I35="Em parte")*'Critérios e pesos'!$G$9/2+(J35="Claro")*'Critérios e pesos'!$G$10+(J35="Em parte")*'Critérios e pesos'!$G$10/2+(K35="Claro")*'Critérios e pesos'!$G$11+(K35="Em parte")*'Critérios e pesos'!$G$11/2+(L35="Claro")*'Critérios e pesos'!$G$12+(L35="Em parte")*'Critérios e pesos'!$G$12/2+(M35="Claro")*'Critérios e pesos'!$G$13+(M35="Em parte")*'Critérios e pesos'!$G$13/2)</f>
        <v/>
      </c>
      <c r="R35" s="14">
        <f>IF($B35="","",IFERROR(VLOOKUP(N35,'Critérios e pesos'!$B$17:$C$20,2,FALSE),0))</f>
        <v/>
      </c>
      <c r="S35" s="9">
        <f>IF($B35="","",MAX(0,P35+Q35+R35))</f>
        <v/>
      </c>
      <c r="T35" s="9">
        <f>IF($B35="","",IF(O35&lt;&gt;"","X",IF(S35&gt;='Critérios e pesos'!$C$29,"A",IF(S35&gt;='Critérios e pesos'!$C$30,"B","C"))))</f>
        <v/>
      </c>
      <c r="U35" s="14">
        <f>IF(T35="","",INDEX('Critérios e pesos'!$D$29:$D$32,MATCH(T35,'Critérios e pesos'!$A$29:$A$32,0)))</f>
        <v/>
      </c>
      <c r="V35" s="14">
        <f>IF(T35="","",INDEX('Critérios e pesos'!$F$29:$F$32,MATCH(T35,'Critérios e pesos'!$A$29:$A$32,0)))</f>
        <v/>
      </c>
      <c r="W35" s="15">
        <f>IF(OR(AH35="",AJ35=""),"",IF(AI35+AJ35*60&lt;=ROUND('Critérios e pesos'!$C$37*1440,0),INT(AH35)+(AI35+AJ35*60)/1440,WORKDAY(INT(AH35),1+INT((AI35+AJ35*60-ROUND('Critérios e pesos'!$C$37*1440,0)-1)/(ROUND('Critérios e pesos'!$C$37*1440,0)-ROUND('Critérios e pesos'!$C$36*1440,0))))+(ROUND('Critérios e pesos'!$C$36*1440,0)+AI35+AJ35*60-ROUND('Critérios e pesos'!$C$37*1440,0)-INT((AI35+AJ35*60-ROUND('Critérios e pesos'!$C$37*1440,0)-1)/(ROUND('Critérios e pesos'!$C$37*1440,0)-ROUND('Critérios e pesos'!$C$36*1440,0)))*(ROUND('Critérios e pesos'!$C$37*1440,0)-ROUND('Critérios e pesos'!$C$36*1440,0)))/1440))</f>
        <v/>
      </c>
      <c r="X35" s="16" t="n"/>
      <c r="Y35" s="14">
        <f>IF(W35="","",IF(X35="",IF(NOW()&gt;W35,"Atrasado","Em espera"),IF(X35&lt;=W35,"No prazo","Atrasado")))</f>
        <v/>
      </c>
      <c r="Z35" s="17" t="n"/>
      <c r="AA35" s="14">
        <f>IF($B35="","",IF(OR(T35="X",AD35&lt;&gt;""),0,MAX(0,MIN(Q35,'Critérios e pesos'!$C$38*INT((TODAY()-IF(Z35&lt;&gt;"",Z35,INT($A35)))/7)))))</f>
        <v/>
      </c>
      <c r="AB35" s="14">
        <f>IF($B35="","",MAX(0,S35-AA35))</f>
        <v/>
      </c>
      <c r="AC35" s="9">
        <f>IF($B35="","",IF(T35="X","X",IF(AB35&gt;='Critérios e pesos'!$C$29,"A",IF(AB35&gt;='Critérios e pesos'!$C$30,"B","C"))))</f>
        <v/>
      </c>
      <c r="AD35" s="4" t="n"/>
      <c r="AE35" s="18" t="n"/>
      <c r="AF35" s="6" t="n"/>
      <c r="AH35">
        <f>IF($A35="","",IF(OR(WEEKDAY($A35,2)&gt;5,ROUND(MOD($A35,1)*1440,0)&gt;=ROUND('Critérios e pesos'!$C$37*1440,0)),WORKDAY(INT($A35),1)+ROUND('Critérios e pesos'!$C$36*1440,0)/1440,IF(ROUND(MOD($A35,1)*1440,0)&lt;ROUND('Critérios e pesos'!$C$36*1440,0),INT($A35)+ROUND('Critérios e pesos'!$C$36*1440,0)/1440,$A35)))</f>
        <v/>
      </c>
      <c r="AI35">
        <f>IF(AH35="","",ROUND(MOD(AH35,1)*1440,0))</f>
        <v/>
      </c>
      <c r="AJ35">
        <f>IF(T35="","",INDEX('Critérios e pesos'!$E$29:$E$32,MATCH(T35,'Critérios e pesos'!$A$29:$A$32,0)))</f>
        <v/>
      </c>
    </row>
    <row r="36">
      <c r="A36" s="13" t="n"/>
      <c r="B36" s="6" t="n"/>
      <c r="C36" s="6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6" t="n"/>
      <c r="O36" s="6" t="n"/>
      <c r="P36" s="14">
        <f>IF($B36="","",(E36="Claro")*'Critérios e pesos'!$G$5+(E36="Em parte")*'Critérios e pesos'!$G$5/2+(F36="Claro")*'Critérios e pesos'!$G$6+(F36="Em parte")*'Critérios e pesos'!$G$6/2+(G36="Claro")*'Critérios e pesos'!$G$7+(G36="Em parte")*'Critérios e pesos'!$G$7/2+(H36="Claro")*'Critérios e pesos'!$G$8+(H36="Em parte")*'Critérios e pesos'!$G$8/2)</f>
        <v/>
      </c>
      <c r="Q36" s="14">
        <f>IF($B36="","",(I36="Claro")*'Critérios e pesos'!$G$9+(I36="Em parte")*'Critérios e pesos'!$G$9/2+(J36="Claro")*'Critérios e pesos'!$G$10+(J36="Em parte")*'Critérios e pesos'!$G$10/2+(K36="Claro")*'Critérios e pesos'!$G$11+(K36="Em parte")*'Critérios e pesos'!$G$11/2+(L36="Claro")*'Critérios e pesos'!$G$12+(L36="Em parte")*'Critérios e pesos'!$G$12/2+(M36="Claro")*'Critérios e pesos'!$G$13+(M36="Em parte")*'Critérios e pesos'!$G$13/2)</f>
        <v/>
      </c>
      <c r="R36" s="14">
        <f>IF($B36="","",IFERROR(VLOOKUP(N36,'Critérios e pesos'!$B$17:$C$20,2,FALSE),0))</f>
        <v/>
      </c>
      <c r="S36" s="9">
        <f>IF($B36="","",MAX(0,P36+Q36+R36))</f>
        <v/>
      </c>
      <c r="T36" s="9">
        <f>IF($B36="","",IF(O36&lt;&gt;"","X",IF(S36&gt;='Critérios e pesos'!$C$29,"A",IF(S36&gt;='Critérios e pesos'!$C$30,"B","C"))))</f>
        <v/>
      </c>
      <c r="U36" s="14">
        <f>IF(T36="","",INDEX('Critérios e pesos'!$D$29:$D$32,MATCH(T36,'Critérios e pesos'!$A$29:$A$32,0)))</f>
        <v/>
      </c>
      <c r="V36" s="14">
        <f>IF(T36="","",INDEX('Critérios e pesos'!$F$29:$F$32,MATCH(T36,'Critérios e pesos'!$A$29:$A$32,0)))</f>
        <v/>
      </c>
      <c r="W36" s="15">
        <f>IF(OR(AH36="",AJ36=""),"",IF(AI36+AJ36*60&lt;=ROUND('Critérios e pesos'!$C$37*1440,0),INT(AH36)+(AI36+AJ36*60)/1440,WORKDAY(INT(AH36),1+INT((AI36+AJ36*60-ROUND('Critérios e pesos'!$C$37*1440,0)-1)/(ROUND('Critérios e pesos'!$C$37*1440,0)-ROUND('Critérios e pesos'!$C$36*1440,0))))+(ROUND('Critérios e pesos'!$C$36*1440,0)+AI36+AJ36*60-ROUND('Critérios e pesos'!$C$37*1440,0)-INT((AI36+AJ36*60-ROUND('Critérios e pesos'!$C$37*1440,0)-1)/(ROUND('Critérios e pesos'!$C$37*1440,0)-ROUND('Critérios e pesos'!$C$36*1440,0)))*(ROUND('Critérios e pesos'!$C$37*1440,0)-ROUND('Critérios e pesos'!$C$36*1440,0)))/1440))</f>
        <v/>
      </c>
      <c r="X36" s="16" t="n"/>
      <c r="Y36" s="14">
        <f>IF(W36="","",IF(X36="",IF(NOW()&gt;W36,"Atrasado","Em espera"),IF(X36&lt;=W36,"No prazo","Atrasado")))</f>
        <v/>
      </c>
      <c r="Z36" s="17" t="n"/>
      <c r="AA36" s="14">
        <f>IF($B36="","",IF(OR(T36="X",AD36&lt;&gt;""),0,MAX(0,MIN(Q36,'Critérios e pesos'!$C$38*INT((TODAY()-IF(Z36&lt;&gt;"",Z36,INT($A36)))/7)))))</f>
        <v/>
      </c>
      <c r="AB36" s="14">
        <f>IF($B36="","",MAX(0,S36-AA36))</f>
        <v/>
      </c>
      <c r="AC36" s="9">
        <f>IF($B36="","",IF(T36="X","X",IF(AB36&gt;='Critérios e pesos'!$C$29,"A",IF(AB36&gt;='Critérios e pesos'!$C$30,"B","C"))))</f>
        <v/>
      </c>
      <c r="AD36" s="4" t="n"/>
      <c r="AE36" s="18" t="n"/>
      <c r="AF36" s="6" t="n"/>
      <c r="AH36">
        <f>IF($A36="","",IF(OR(WEEKDAY($A36,2)&gt;5,ROUND(MOD($A36,1)*1440,0)&gt;=ROUND('Critérios e pesos'!$C$37*1440,0)),WORKDAY(INT($A36),1)+ROUND('Critérios e pesos'!$C$36*1440,0)/1440,IF(ROUND(MOD($A36,1)*1440,0)&lt;ROUND('Critérios e pesos'!$C$36*1440,0),INT($A36)+ROUND('Critérios e pesos'!$C$36*1440,0)/1440,$A36)))</f>
        <v/>
      </c>
      <c r="AI36">
        <f>IF(AH36="","",ROUND(MOD(AH36,1)*1440,0))</f>
        <v/>
      </c>
      <c r="AJ36">
        <f>IF(T36="","",INDEX('Critérios e pesos'!$E$29:$E$32,MATCH(T36,'Critérios e pesos'!$A$29:$A$32,0)))</f>
        <v/>
      </c>
    </row>
    <row r="37">
      <c r="A37" s="13" t="n"/>
      <c r="B37" s="6" t="n"/>
      <c r="C37" s="6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6" t="n"/>
      <c r="O37" s="6" t="n"/>
      <c r="P37" s="14">
        <f>IF($B37="","",(E37="Claro")*'Critérios e pesos'!$G$5+(E37="Em parte")*'Critérios e pesos'!$G$5/2+(F37="Claro")*'Critérios e pesos'!$G$6+(F37="Em parte")*'Critérios e pesos'!$G$6/2+(G37="Claro")*'Critérios e pesos'!$G$7+(G37="Em parte")*'Critérios e pesos'!$G$7/2+(H37="Claro")*'Critérios e pesos'!$G$8+(H37="Em parte")*'Critérios e pesos'!$G$8/2)</f>
        <v/>
      </c>
      <c r="Q37" s="14">
        <f>IF($B37="","",(I37="Claro")*'Critérios e pesos'!$G$9+(I37="Em parte")*'Critérios e pesos'!$G$9/2+(J37="Claro")*'Critérios e pesos'!$G$10+(J37="Em parte")*'Critérios e pesos'!$G$10/2+(K37="Claro")*'Critérios e pesos'!$G$11+(K37="Em parte")*'Critérios e pesos'!$G$11/2+(L37="Claro")*'Critérios e pesos'!$G$12+(L37="Em parte")*'Critérios e pesos'!$G$12/2+(M37="Claro")*'Critérios e pesos'!$G$13+(M37="Em parte")*'Critérios e pesos'!$G$13/2)</f>
        <v/>
      </c>
      <c r="R37" s="14">
        <f>IF($B37="","",IFERROR(VLOOKUP(N37,'Critérios e pesos'!$B$17:$C$20,2,FALSE),0))</f>
        <v/>
      </c>
      <c r="S37" s="9">
        <f>IF($B37="","",MAX(0,P37+Q37+R37))</f>
        <v/>
      </c>
      <c r="T37" s="9">
        <f>IF($B37="","",IF(O37&lt;&gt;"","X",IF(S37&gt;='Critérios e pesos'!$C$29,"A",IF(S37&gt;='Critérios e pesos'!$C$30,"B","C"))))</f>
        <v/>
      </c>
      <c r="U37" s="14">
        <f>IF(T37="","",INDEX('Critérios e pesos'!$D$29:$D$32,MATCH(T37,'Critérios e pesos'!$A$29:$A$32,0)))</f>
        <v/>
      </c>
      <c r="V37" s="14">
        <f>IF(T37="","",INDEX('Critérios e pesos'!$F$29:$F$32,MATCH(T37,'Critérios e pesos'!$A$29:$A$32,0)))</f>
        <v/>
      </c>
      <c r="W37" s="15">
        <f>IF(OR(AH37="",AJ37=""),"",IF(AI37+AJ37*60&lt;=ROUND('Critérios e pesos'!$C$37*1440,0),INT(AH37)+(AI37+AJ37*60)/1440,WORKDAY(INT(AH37),1+INT((AI37+AJ37*60-ROUND('Critérios e pesos'!$C$37*1440,0)-1)/(ROUND('Critérios e pesos'!$C$37*1440,0)-ROUND('Critérios e pesos'!$C$36*1440,0))))+(ROUND('Critérios e pesos'!$C$36*1440,0)+AI37+AJ37*60-ROUND('Critérios e pesos'!$C$37*1440,0)-INT((AI37+AJ37*60-ROUND('Critérios e pesos'!$C$37*1440,0)-1)/(ROUND('Critérios e pesos'!$C$37*1440,0)-ROUND('Critérios e pesos'!$C$36*1440,0)))*(ROUND('Critérios e pesos'!$C$37*1440,0)-ROUND('Critérios e pesos'!$C$36*1440,0)))/1440))</f>
        <v/>
      </c>
      <c r="X37" s="16" t="n"/>
      <c r="Y37" s="14">
        <f>IF(W37="","",IF(X37="",IF(NOW()&gt;W37,"Atrasado","Em espera"),IF(X37&lt;=W37,"No prazo","Atrasado")))</f>
        <v/>
      </c>
      <c r="Z37" s="17" t="n"/>
      <c r="AA37" s="14">
        <f>IF($B37="","",IF(OR(T37="X",AD37&lt;&gt;""),0,MAX(0,MIN(Q37,'Critérios e pesos'!$C$38*INT((TODAY()-IF(Z37&lt;&gt;"",Z37,INT($A37)))/7)))))</f>
        <v/>
      </c>
      <c r="AB37" s="14">
        <f>IF($B37="","",MAX(0,S37-AA37))</f>
        <v/>
      </c>
      <c r="AC37" s="9">
        <f>IF($B37="","",IF(T37="X","X",IF(AB37&gt;='Critérios e pesos'!$C$29,"A",IF(AB37&gt;='Critérios e pesos'!$C$30,"B","C"))))</f>
        <v/>
      </c>
      <c r="AD37" s="4" t="n"/>
      <c r="AE37" s="18" t="n"/>
      <c r="AF37" s="6" t="n"/>
      <c r="AH37">
        <f>IF($A37="","",IF(OR(WEEKDAY($A37,2)&gt;5,ROUND(MOD($A37,1)*1440,0)&gt;=ROUND('Critérios e pesos'!$C$37*1440,0)),WORKDAY(INT($A37),1)+ROUND('Critérios e pesos'!$C$36*1440,0)/1440,IF(ROUND(MOD($A37,1)*1440,0)&lt;ROUND('Critérios e pesos'!$C$36*1440,0),INT($A37)+ROUND('Critérios e pesos'!$C$36*1440,0)/1440,$A37)))</f>
        <v/>
      </c>
      <c r="AI37">
        <f>IF(AH37="","",ROUND(MOD(AH37,1)*1440,0))</f>
        <v/>
      </c>
      <c r="AJ37">
        <f>IF(T37="","",INDEX('Critérios e pesos'!$E$29:$E$32,MATCH(T37,'Critérios e pesos'!$A$29:$A$32,0)))</f>
        <v/>
      </c>
    </row>
    <row r="38">
      <c r="A38" s="13" t="n"/>
      <c r="B38" s="6" t="n"/>
      <c r="C38" s="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6" t="n"/>
      <c r="O38" s="6" t="n"/>
      <c r="P38" s="14">
        <f>IF($B38="","",(E38="Claro")*'Critérios e pesos'!$G$5+(E38="Em parte")*'Critérios e pesos'!$G$5/2+(F38="Claro")*'Critérios e pesos'!$G$6+(F38="Em parte")*'Critérios e pesos'!$G$6/2+(G38="Claro")*'Critérios e pesos'!$G$7+(G38="Em parte")*'Critérios e pesos'!$G$7/2+(H38="Claro")*'Critérios e pesos'!$G$8+(H38="Em parte")*'Critérios e pesos'!$G$8/2)</f>
        <v/>
      </c>
      <c r="Q38" s="14">
        <f>IF($B38="","",(I38="Claro")*'Critérios e pesos'!$G$9+(I38="Em parte")*'Critérios e pesos'!$G$9/2+(J38="Claro")*'Critérios e pesos'!$G$10+(J38="Em parte")*'Critérios e pesos'!$G$10/2+(K38="Claro")*'Critérios e pesos'!$G$11+(K38="Em parte")*'Critérios e pesos'!$G$11/2+(L38="Claro")*'Critérios e pesos'!$G$12+(L38="Em parte")*'Critérios e pesos'!$G$12/2+(M38="Claro")*'Critérios e pesos'!$G$13+(M38="Em parte")*'Critérios e pesos'!$G$13/2)</f>
        <v/>
      </c>
      <c r="R38" s="14">
        <f>IF($B38="","",IFERROR(VLOOKUP(N38,'Critérios e pesos'!$B$17:$C$20,2,FALSE),0))</f>
        <v/>
      </c>
      <c r="S38" s="9">
        <f>IF($B38="","",MAX(0,P38+Q38+R38))</f>
        <v/>
      </c>
      <c r="T38" s="9">
        <f>IF($B38="","",IF(O38&lt;&gt;"","X",IF(S38&gt;='Critérios e pesos'!$C$29,"A",IF(S38&gt;='Critérios e pesos'!$C$30,"B","C"))))</f>
        <v/>
      </c>
      <c r="U38" s="14">
        <f>IF(T38="","",INDEX('Critérios e pesos'!$D$29:$D$32,MATCH(T38,'Critérios e pesos'!$A$29:$A$32,0)))</f>
        <v/>
      </c>
      <c r="V38" s="14">
        <f>IF(T38="","",INDEX('Critérios e pesos'!$F$29:$F$32,MATCH(T38,'Critérios e pesos'!$A$29:$A$32,0)))</f>
        <v/>
      </c>
      <c r="W38" s="15">
        <f>IF(OR(AH38="",AJ38=""),"",IF(AI38+AJ38*60&lt;=ROUND('Critérios e pesos'!$C$37*1440,0),INT(AH38)+(AI38+AJ38*60)/1440,WORKDAY(INT(AH38),1+INT((AI38+AJ38*60-ROUND('Critérios e pesos'!$C$37*1440,0)-1)/(ROUND('Critérios e pesos'!$C$37*1440,0)-ROUND('Critérios e pesos'!$C$36*1440,0))))+(ROUND('Critérios e pesos'!$C$36*1440,0)+AI38+AJ38*60-ROUND('Critérios e pesos'!$C$37*1440,0)-INT((AI38+AJ38*60-ROUND('Critérios e pesos'!$C$37*1440,0)-1)/(ROUND('Critérios e pesos'!$C$37*1440,0)-ROUND('Critérios e pesos'!$C$36*1440,0)))*(ROUND('Critérios e pesos'!$C$37*1440,0)-ROUND('Critérios e pesos'!$C$36*1440,0)))/1440))</f>
        <v/>
      </c>
      <c r="X38" s="16" t="n"/>
      <c r="Y38" s="14">
        <f>IF(W38="","",IF(X38="",IF(NOW()&gt;W38,"Atrasado","Em espera"),IF(X38&lt;=W38,"No prazo","Atrasado")))</f>
        <v/>
      </c>
      <c r="Z38" s="17" t="n"/>
      <c r="AA38" s="14">
        <f>IF($B38="","",IF(OR(T38="X",AD38&lt;&gt;""),0,MAX(0,MIN(Q38,'Critérios e pesos'!$C$38*INT((TODAY()-IF(Z38&lt;&gt;"",Z38,INT($A38)))/7)))))</f>
        <v/>
      </c>
      <c r="AB38" s="14">
        <f>IF($B38="","",MAX(0,S38-AA38))</f>
        <v/>
      </c>
      <c r="AC38" s="9">
        <f>IF($B38="","",IF(T38="X","X",IF(AB38&gt;='Critérios e pesos'!$C$29,"A",IF(AB38&gt;='Critérios e pesos'!$C$30,"B","C"))))</f>
        <v/>
      </c>
      <c r="AD38" s="4" t="n"/>
      <c r="AE38" s="18" t="n"/>
      <c r="AF38" s="6" t="n"/>
      <c r="AH38">
        <f>IF($A38="","",IF(OR(WEEKDAY($A38,2)&gt;5,ROUND(MOD($A38,1)*1440,0)&gt;=ROUND('Critérios e pesos'!$C$37*1440,0)),WORKDAY(INT($A38),1)+ROUND('Critérios e pesos'!$C$36*1440,0)/1440,IF(ROUND(MOD($A38,1)*1440,0)&lt;ROUND('Critérios e pesos'!$C$36*1440,0),INT($A38)+ROUND('Critérios e pesos'!$C$36*1440,0)/1440,$A38)))</f>
        <v/>
      </c>
      <c r="AI38">
        <f>IF(AH38="","",ROUND(MOD(AH38,1)*1440,0))</f>
        <v/>
      </c>
      <c r="AJ38">
        <f>IF(T38="","",INDEX('Critérios e pesos'!$E$29:$E$32,MATCH(T38,'Critérios e pesos'!$A$29:$A$32,0)))</f>
        <v/>
      </c>
    </row>
    <row r="39">
      <c r="A39" s="13" t="n"/>
      <c r="B39" s="6" t="n"/>
      <c r="C39" s="6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6" t="n"/>
      <c r="O39" s="6" t="n"/>
      <c r="P39" s="14">
        <f>IF($B39="","",(E39="Claro")*'Critérios e pesos'!$G$5+(E39="Em parte")*'Critérios e pesos'!$G$5/2+(F39="Claro")*'Critérios e pesos'!$G$6+(F39="Em parte")*'Critérios e pesos'!$G$6/2+(G39="Claro")*'Critérios e pesos'!$G$7+(G39="Em parte")*'Critérios e pesos'!$G$7/2+(H39="Claro")*'Critérios e pesos'!$G$8+(H39="Em parte")*'Critérios e pesos'!$G$8/2)</f>
        <v/>
      </c>
      <c r="Q39" s="14">
        <f>IF($B39="","",(I39="Claro")*'Critérios e pesos'!$G$9+(I39="Em parte")*'Critérios e pesos'!$G$9/2+(J39="Claro")*'Critérios e pesos'!$G$10+(J39="Em parte")*'Critérios e pesos'!$G$10/2+(K39="Claro")*'Critérios e pesos'!$G$11+(K39="Em parte")*'Critérios e pesos'!$G$11/2+(L39="Claro")*'Critérios e pesos'!$G$12+(L39="Em parte")*'Critérios e pesos'!$G$12/2+(M39="Claro")*'Critérios e pesos'!$G$13+(M39="Em parte")*'Critérios e pesos'!$G$13/2)</f>
        <v/>
      </c>
      <c r="R39" s="14">
        <f>IF($B39="","",IFERROR(VLOOKUP(N39,'Critérios e pesos'!$B$17:$C$20,2,FALSE),0))</f>
        <v/>
      </c>
      <c r="S39" s="9">
        <f>IF($B39="","",MAX(0,P39+Q39+R39))</f>
        <v/>
      </c>
      <c r="T39" s="9">
        <f>IF($B39="","",IF(O39&lt;&gt;"","X",IF(S39&gt;='Critérios e pesos'!$C$29,"A",IF(S39&gt;='Critérios e pesos'!$C$30,"B","C"))))</f>
        <v/>
      </c>
      <c r="U39" s="14">
        <f>IF(T39="","",INDEX('Critérios e pesos'!$D$29:$D$32,MATCH(T39,'Critérios e pesos'!$A$29:$A$32,0)))</f>
        <v/>
      </c>
      <c r="V39" s="14">
        <f>IF(T39="","",INDEX('Critérios e pesos'!$F$29:$F$32,MATCH(T39,'Critérios e pesos'!$A$29:$A$32,0)))</f>
        <v/>
      </c>
      <c r="W39" s="15">
        <f>IF(OR(AH39="",AJ39=""),"",IF(AI39+AJ39*60&lt;=ROUND('Critérios e pesos'!$C$37*1440,0),INT(AH39)+(AI39+AJ39*60)/1440,WORKDAY(INT(AH39),1+INT((AI39+AJ39*60-ROUND('Critérios e pesos'!$C$37*1440,0)-1)/(ROUND('Critérios e pesos'!$C$37*1440,0)-ROUND('Critérios e pesos'!$C$36*1440,0))))+(ROUND('Critérios e pesos'!$C$36*1440,0)+AI39+AJ39*60-ROUND('Critérios e pesos'!$C$37*1440,0)-INT((AI39+AJ39*60-ROUND('Critérios e pesos'!$C$37*1440,0)-1)/(ROUND('Critérios e pesos'!$C$37*1440,0)-ROUND('Critérios e pesos'!$C$36*1440,0)))*(ROUND('Critérios e pesos'!$C$37*1440,0)-ROUND('Critérios e pesos'!$C$36*1440,0)))/1440))</f>
        <v/>
      </c>
      <c r="X39" s="16" t="n"/>
      <c r="Y39" s="14">
        <f>IF(W39="","",IF(X39="",IF(NOW()&gt;W39,"Atrasado","Em espera"),IF(X39&lt;=W39,"No prazo","Atrasado")))</f>
        <v/>
      </c>
      <c r="Z39" s="17" t="n"/>
      <c r="AA39" s="14">
        <f>IF($B39="","",IF(OR(T39="X",AD39&lt;&gt;""),0,MAX(0,MIN(Q39,'Critérios e pesos'!$C$38*INT((TODAY()-IF(Z39&lt;&gt;"",Z39,INT($A39)))/7)))))</f>
        <v/>
      </c>
      <c r="AB39" s="14">
        <f>IF($B39="","",MAX(0,S39-AA39))</f>
        <v/>
      </c>
      <c r="AC39" s="9">
        <f>IF($B39="","",IF(T39="X","X",IF(AB39&gt;='Critérios e pesos'!$C$29,"A",IF(AB39&gt;='Critérios e pesos'!$C$30,"B","C"))))</f>
        <v/>
      </c>
      <c r="AD39" s="4" t="n"/>
      <c r="AE39" s="18" t="n"/>
      <c r="AF39" s="6" t="n"/>
      <c r="AH39">
        <f>IF($A39="","",IF(OR(WEEKDAY($A39,2)&gt;5,ROUND(MOD($A39,1)*1440,0)&gt;=ROUND('Critérios e pesos'!$C$37*1440,0)),WORKDAY(INT($A39),1)+ROUND('Critérios e pesos'!$C$36*1440,0)/1440,IF(ROUND(MOD($A39,1)*1440,0)&lt;ROUND('Critérios e pesos'!$C$36*1440,0),INT($A39)+ROUND('Critérios e pesos'!$C$36*1440,0)/1440,$A39)))</f>
        <v/>
      </c>
      <c r="AI39">
        <f>IF(AH39="","",ROUND(MOD(AH39,1)*1440,0))</f>
        <v/>
      </c>
      <c r="AJ39">
        <f>IF(T39="","",INDEX('Critérios e pesos'!$E$29:$E$32,MATCH(T39,'Critérios e pesos'!$A$29:$A$32,0)))</f>
        <v/>
      </c>
    </row>
    <row r="40">
      <c r="A40" s="13" t="n"/>
      <c r="B40" s="6" t="n"/>
      <c r="C40" s="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6" t="n"/>
      <c r="O40" s="6" t="n"/>
      <c r="P40" s="14">
        <f>IF($B40="","",(E40="Claro")*'Critérios e pesos'!$G$5+(E40="Em parte")*'Critérios e pesos'!$G$5/2+(F40="Claro")*'Critérios e pesos'!$G$6+(F40="Em parte")*'Critérios e pesos'!$G$6/2+(G40="Claro")*'Critérios e pesos'!$G$7+(G40="Em parte")*'Critérios e pesos'!$G$7/2+(H40="Claro")*'Critérios e pesos'!$G$8+(H40="Em parte")*'Critérios e pesos'!$G$8/2)</f>
        <v/>
      </c>
      <c r="Q40" s="14">
        <f>IF($B40="","",(I40="Claro")*'Critérios e pesos'!$G$9+(I40="Em parte")*'Critérios e pesos'!$G$9/2+(J40="Claro")*'Critérios e pesos'!$G$10+(J40="Em parte")*'Critérios e pesos'!$G$10/2+(K40="Claro")*'Critérios e pesos'!$G$11+(K40="Em parte")*'Critérios e pesos'!$G$11/2+(L40="Claro")*'Critérios e pesos'!$G$12+(L40="Em parte")*'Critérios e pesos'!$G$12/2+(M40="Claro")*'Critérios e pesos'!$G$13+(M40="Em parte")*'Critérios e pesos'!$G$13/2)</f>
        <v/>
      </c>
      <c r="R40" s="14">
        <f>IF($B40="","",IFERROR(VLOOKUP(N40,'Critérios e pesos'!$B$17:$C$20,2,FALSE),0))</f>
        <v/>
      </c>
      <c r="S40" s="9">
        <f>IF($B40="","",MAX(0,P40+Q40+R40))</f>
        <v/>
      </c>
      <c r="T40" s="9">
        <f>IF($B40="","",IF(O40&lt;&gt;"","X",IF(S40&gt;='Critérios e pesos'!$C$29,"A",IF(S40&gt;='Critérios e pesos'!$C$30,"B","C"))))</f>
        <v/>
      </c>
      <c r="U40" s="14">
        <f>IF(T40="","",INDEX('Critérios e pesos'!$D$29:$D$32,MATCH(T40,'Critérios e pesos'!$A$29:$A$32,0)))</f>
        <v/>
      </c>
      <c r="V40" s="14">
        <f>IF(T40="","",INDEX('Critérios e pesos'!$F$29:$F$32,MATCH(T40,'Critérios e pesos'!$A$29:$A$32,0)))</f>
        <v/>
      </c>
      <c r="W40" s="15">
        <f>IF(OR(AH40="",AJ40=""),"",IF(AI40+AJ40*60&lt;=ROUND('Critérios e pesos'!$C$37*1440,0),INT(AH40)+(AI40+AJ40*60)/1440,WORKDAY(INT(AH40),1+INT((AI40+AJ40*60-ROUND('Critérios e pesos'!$C$37*1440,0)-1)/(ROUND('Critérios e pesos'!$C$37*1440,0)-ROUND('Critérios e pesos'!$C$36*1440,0))))+(ROUND('Critérios e pesos'!$C$36*1440,0)+AI40+AJ40*60-ROUND('Critérios e pesos'!$C$37*1440,0)-INT((AI40+AJ40*60-ROUND('Critérios e pesos'!$C$37*1440,0)-1)/(ROUND('Critérios e pesos'!$C$37*1440,0)-ROUND('Critérios e pesos'!$C$36*1440,0)))*(ROUND('Critérios e pesos'!$C$37*1440,0)-ROUND('Critérios e pesos'!$C$36*1440,0)))/1440))</f>
        <v/>
      </c>
      <c r="X40" s="16" t="n"/>
      <c r="Y40" s="14">
        <f>IF(W40="","",IF(X40="",IF(NOW()&gt;W40,"Atrasado","Em espera"),IF(X40&lt;=W40,"No prazo","Atrasado")))</f>
        <v/>
      </c>
      <c r="Z40" s="17" t="n"/>
      <c r="AA40" s="14">
        <f>IF($B40="","",IF(OR(T40="X",AD40&lt;&gt;""),0,MAX(0,MIN(Q40,'Critérios e pesos'!$C$38*INT((TODAY()-IF(Z40&lt;&gt;"",Z40,INT($A40)))/7)))))</f>
        <v/>
      </c>
      <c r="AB40" s="14">
        <f>IF($B40="","",MAX(0,S40-AA40))</f>
        <v/>
      </c>
      <c r="AC40" s="9">
        <f>IF($B40="","",IF(T40="X","X",IF(AB40&gt;='Critérios e pesos'!$C$29,"A",IF(AB40&gt;='Critérios e pesos'!$C$30,"B","C"))))</f>
        <v/>
      </c>
      <c r="AD40" s="4" t="n"/>
      <c r="AE40" s="18" t="n"/>
      <c r="AF40" s="6" t="n"/>
      <c r="AH40">
        <f>IF($A40="","",IF(OR(WEEKDAY($A40,2)&gt;5,ROUND(MOD($A40,1)*1440,0)&gt;=ROUND('Critérios e pesos'!$C$37*1440,0)),WORKDAY(INT($A40),1)+ROUND('Critérios e pesos'!$C$36*1440,0)/1440,IF(ROUND(MOD($A40,1)*1440,0)&lt;ROUND('Critérios e pesos'!$C$36*1440,0),INT($A40)+ROUND('Critérios e pesos'!$C$36*1440,0)/1440,$A40)))</f>
        <v/>
      </c>
      <c r="AI40">
        <f>IF(AH40="","",ROUND(MOD(AH40,1)*1440,0))</f>
        <v/>
      </c>
      <c r="AJ40">
        <f>IF(T40="","",INDEX('Critérios e pesos'!$E$29:$E$32,MATCH(T40,'Critérios e pesos'!$A$29:$A$32,0)))</f>
        <v/>
      </c>
    </row>
    <row r="41">
      <c r="A41" s="13" t="n"/>
      <c r="B41" s="6" t="n"/>
      <c r="C41" s="6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6" t="n"/>
      <c r="O41" s="6" t="n"/>
      <c r="P41" s="14">
        <f>IF($B41="","",(E41="Claro")*'Critérios e pesos'!$G$5+(E41="Em parte")*'Critérios e pesos'!$G$5/2+(F41="Claro")*'Critérios e pesos'!$G$6+(F41="Em parte")*'Critérios e pesos'!$G$6/2+(G41="Claro")*'Critérios e pesos'!$G$7+(G41="Em parte")*'Critérios e pesos'!$G$7/2+(H41="Claro")*'Critérios e pesos'!$G$8+(H41="Em parte")*'Critérios e pesos'!$G$8/2)</f>
        <v/>
      </c>
      <c r="Q41" s="14">
        <f>IF($B41="","",(I41="Claro")*'Critérios e pesos'!$G$9+(I41="Em parte")*'Critérios e pesos'!$G$9/2+(J41="Claro")*'Critérios e pesos'!$G$10+(J41="Em parte")*'Critérios e pesos'!$G$10/2+(K41="Claro")*'Critérios e pesos'!$G$11+(K41="Em parte")*'Critérios e pesos'!$G$11/2+(L41="Claro")*'Critérios e pesos'!$G$12+(L41="Em parte")*'Critérios e pesos'!$G$12/2+(M41="Claro")*'Critérios e pesos'!$G$13+(M41="Em parte")*'Critérios e pesos'!$G$13/2)</f>
        <v/>
      </c>
      <c r="R41" s="14">
        <f>IF($B41="","",IFERROR(VLOOKUP(N41,'Critérios e pesos'!$B$17:$C$20,2,FALSE),0))</f>
        <v/>
      </c>
      <c r="S41" s="9">
        <f>IF($B41="","",MAX(0,P41+Q41+R41))</f>
        <v/>
      </c>
      <c r="T41" s="9">
        <f>IF($B41="","",IF(O41&lt;&gt;"","X",IF(S41&gt;='Critérios e pesos'!$C$29,"A",IF(S41&gt;='Critérios e pesos'!$C$30,"B","C"))))</f>
        <v/>
      </c>
      <c r="U41" s="14">
        <f>IF(T41="","",INDEX('Critérios e pesos'!$D$29:$D$32,MATCH(T41,'Critérios e pesos'!$A$29:$A$32,0)))</f>
        <v/>
      </c>
      <c r="V41" s="14">
        <f>IF(T41="","",INDEX('Critérios e pesos'!$F$29:$F$32,MATCH(T41,'Critérios e pesos'!$A$29:$A$32,0)))</f>
        <v/>
      </c>
      <c r="W41" s="15">
        <f>IF(OR(AH41="",AJ41=""),"",IF(AI41+AJ41*60&lt;=ROUND('Critérios e pesos'!$C$37*1440,0),INT(AH41)+(AI41+AJ41*60)/1440,WORKDAY(INT(AH41),1+INT((AI41+AJ41*60-ROUND('Critérios e pesos'!$C$37*1440,0)-1)/(ROUND('Critérios e pesos'!$C$37*1440,0)-ROUND('Critérios e pesos'!$C$36*1440,0))))+(ROUND('Critérios e pesos'!$C$36*1440,0)+AI41+AJ41*60-ROUND('Critérios e pesos'!$C$37*1440,0)-INT((AI41+AJ41*60-ROUND('Critérios e pesos'!$C$37*1440,0)-1)/(ROUND('Critérios e pesos'!$C$37*1440,0)-ROUND('Critérios e pesos'!$C$36*1440,0)))*(ROUND('Critérios e pesos'!$C$37*1440,0)-ROUND('Critérios e pesos'!$C$36*1440,0)))/1440))</f>
        <v/>
      </c>
      <c r="X41" s="16" t="n"/>
      <c r="Y41" s="14">
        <f>IF(W41="","",IF(X41="",IF(NOW()&gt;W41,"Atrasado","Em espera"),IF(X41&lt;=W41,"No prazo","Atrasado")))</f>
        <v/>
      </c>
      <c r="Z41" s="17" t="n"/>
      <c r="AA41" s="14">
        <f>IF($B41="","",IF(OR(T41="X",AD41&lt;&gt;""),0,MAX(0,MIN(Q41,'Critérios e pesos'!$C$38*INT((TODAY()-IF(Z41&lt;&gt;"",Z41,INT($A41)))/7)))))</f>
        <v/>
      </c>
      <c r="AB41" s="14">
        <f>IF($B41="","",MAX(0,S41-AA41))</f>
        <v/>
      </c>
      <c r="AC41" s="9">
        <f>IF($B41="","",IF(T41="X","X",IF(AB41&gt;='Critérios e pesos'!$C$29,"A",IF(AB41&gt;='Critérios e pesos'!$C$30,"B","C"))))</f>
        <v/>
      </c>
      <c r="AD41" s="4" t="n"/>
      <c r="AE41" s="18" t="n"/>
      <c r="AF41" s="6" t="n"/>
      <c r="AH41">
        <f>IF($A41="","",IF(OR(WEEKDAY($A41,2)&gt;5,ROUND(MOD($A41,1)*1440,0)&gt;=ROUND('Critérios e pesos'!$C$37*1440,0)),WORKDAY(INT($A41),1)+ROUND('Critérios e pesos'!$C$36*1440,0)/1440,IF(ROUND(MOD($A41,1)*1440,0)&lt;ROUND('Critérios e pesos'!$C$36*1440,0),INT($A41)+ROUND('Critérios e pesos'!$C$36*1440,0)/1440,$A41)))</f>
        <v/>
      </c>
      <c r="AI41">
        <f>IF(AH41="","",ROUND(MOD(AH41,1)*1440,0))</f>
        <v/>
      </c>
      <c r="AJ41">
        <f>IF(T41="","",INDEX('Critérios e pesos'!$E$29:$E$32,MATCH(T41,'Critérios e pesos'!$A$29:$A$32,0)))</f>
        <v/>
      </c>
    </row>
    <row r="42">
      <c r="A42" s="13" t="n"/>
      <c r="B42" s="6" t="n"/>
      <c r="C42" s="6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6" t="n"/>
      <c r="O42" s="6" t="n"/>
      <c r="P42" s="14">
        <f>IF($B42="","",(E42="Claro")*'Critérios e pesos'!$G$5+(E42="Em parte")*'Critérios e pesos'!$G$5/2+(F42="Claro")*'Critérios e pesos'!$G$6+(F42="Em parte")*'Critérios e pesos'!$G$6/2+(G42="Claro")*'Critérios e pesos'!$G$7+(G42="Em parte")*'Critérios e pesos'!$G$7/2+(H42="Claro")*'Critérios e pesos'!$G$8+(H42="Em parte")*'Critérios e pesos'!$G$8/2)</f>
        <v/>
      </c>
      <c r="Q42" s="14">
        <f>IF($B42="","",(I42="Claro")*'Critérios e pesos'!$G$9+(I42="Em parte")*'Critérios e pesos'!$G$9/2+(J42="Claro")*'Critérios e pesos'!$G$10+(J42="Em parte")*'Critérios e pesos'!$G$10/2+(K42="Claro")*'Critérios e pesos'!$G$11+(K42="Em parte")*'Critérios e pesos'!$G$11/2+(L42="Claro")*'Critérios e pesos'!$G$12+(L42="Em parte")*'Critérios e pesos'!$G$12/2+(M42="Claro")*'Critérios e pesos'!$G$13+(M42="Em parte")*'Critérios e pesos'!$G$13/2)</f>
        <v/>
      </c>
      <c r="R42" s="14">
        <f>IF($B42="","",IFERROR(VLOOKUP(N42,'Critérios e pesos'!$B$17:$C$20,2,FALSE),0))</f>
        <v/>
      </c>
      <c r="S42" s="9">
        <f>IF($B42="","",MAX(0,P42+Q42+R42))</f>
        <v/>
      </c>
      <c r="T42" s="9">
        <f>IF($B42="","",IF(O42&lt;&gt;"","X",IF(S42&gt;='Critérios e pesos'!$C$29,"A",IF(S42&gt;='Critérios e pesos'!$C$30,"B","C"))))</f>
        <v/>
      </c>
      <c r="U42" s="14">
        <f>IF(T42="","",INDEX('Critérios e pesos'!$D$29:$D$32,MATCH(T42,'Critérios e pesos'!$A$29:$A$32,0)))</f>
        <v/>
      </c>
      <c r="V42" s="14">
        <f>IF(T42="","",INDEX('Critérios e pesos'!$F$29:$F$32,MATCH(T42,'Critérios e pesos'!$A$29:$A$32,0)))</f>
        <v/>
      </c>
      <c r="W42" s="15">
        <f>IF(OR(AH42="",AJ42=""),"",IF(AI42+AJ42*60&lt;=ROUND('Critérios e pesos'!$C$37*1440,0),INT(AH42)+(AI42+AJ42*60)/1440,WORKDAY(INT(AH42),1+INT((AI42+AJ42*60-ROUND('Critérios e pesos'!$C$37*1440,0)-1)/(ROUND('Critérios e pesos'!$C$37*1440,0)-ROUND('Critérios e pesos'!$C$36*1440,0))))+(ROUND('Critérios e pesos'!$C$36*1440,0)+AI42+AJ42*60-ROUND('Critérios e pesos'!$C$37*1440,0)-INT((AI42+AJ42*60-ROUND('Critérios e pesos'!$C$37*1440,0)-1)/(ROUND('Critérios e pesos'!$C$37*1440,0)-ROUND('Critérios e pesos'!$C$36*1440,0)))*(ROUND('Critérios e pesos'!$C$37*1440,0)-ROUND('Critérios e pesos'!$C$36*1440,0)))/1440))</f>
        <v/>
      </c>
      <c r="X42" s="16" t="n"/>
      <c r="Y42" s="14">
        <f>IF(W42="","",IF(X42="",IF(NOW()&gt;W42,"Atrasado","Em espera"),IF(X42&lt;=W42,"No prazo","Atrasado")))</f>
        <v/>
      </c>
      <c r="Z42" s="17" t="n"/>
      <c r="AA42" s="14">
        <f>IF($B42="","",IF(OR(T42="X",AD42&lt;&gt;""),0,MAX(0,MIN(Q42,'Critérios e pesos'!$C$38*INT((TODAY()-IF(Z42&lt;&gt;"",Z42,INT($A42)))/7)))))</f>
        <v/>
      </c>
      <c r="AB42" s="14">
        <f>IF($B42="","",MAX(0,S42-AA42))</f>
        <v/>
      </c>
      <c r="AC42" s="9">
        <f>IF($B42="","",IF(T42="X","X",IF(AB42&gt;='Critérios e pesos'!$C$29,"A",IF(AB42&gt;='Critérios e pesos'!$C$30,"B","C"))))</f>
        <v/>
      </c>
      <c r="AD42" s="4" t="n"/>
      <c r="AE42" s="18" t="n"/>
      <c r="AF42" s="6" t="n"/>
      <c r="AH42">
        <f>IF($A42="","",IF(OR(WEEKDAY($A42,2)&gt;5,ROUND(MOD($A42,1)*1440,0)&gt;=ROUND('Critérios e pesos'!$C$37*1440,0)),WORKDAY(INT($A42),1)+ROUND('Critérios e pesos'!$C$36*1440,0)/1440,IF(ROUND(MOD($A42,1)*1440,0)&lt;ROUND('Critérios e pesos'!$C$36*1440,0),INT($A42)+ROUND('Critérios e pesos'!$C$36*1440,0)/1440,$A42)))</f>
        <v/>
      </c>
      <c r="AI42">
        <f>IF(AH42="","",ROUND(MOD(AH42,1)*1440,0))</f>
        <v/>
      </c>
      <c r="AJ42">
        <f>IF(T42="","",INDEX('Critérios e pesos'!$E$29:$E$32,MATCH(T42,'Critérios e pesos'!$A$29:$A$32,0)))</f>
        <v/>
      </c>
    </row>
    <row r="43">
      <c r="A43" s="13" t="n"/>
      <c r="B43" s="6" t="n"/>
      <c r="C43" s="6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6" t="n"/>
      <c r="O43" s="6" t="n"/>
      <c r="P43" s="14">
        <f>IF($B43="","",(E43="Claro")*'Critérios e pesos'!$G$5+(E43="Em parte")*'Critérios e pesos'!$G$5/2+(F43="Claro")*'Critérios e pesos'!$G$6+(F43="Em parte")*'Critérios e pesos'!$G$6/2+(G43="Claro")*'Critérios e pesos'!$G$7+(G43="Em parte")*'Critérios e pesos'!$G$7/2+(H43="Claro")*'Critérios e pesos'!$G$8+(H43="Em parte")*'Critérios e pesos'!$G$8/2)</f>
        <v/>
      </c>
      <c r="Q43" s="14">
        <f>IF($B43="","",(I43="Claro")*'Critérios e pesos'!$G$9+(I43="Em parte")*'Critérios e pesos'!$G$9/2+(J43="Claro")*'Critérios e pesos'!$G$10+(J43="Em parte")*'Critérios e pesos'!$G$10/2+(K43="Claro")*'Critérios e pesos'!$G$11+(K43="Em parte")*'Critérios e pesos'!$G$11/2+(L43="Claro")*'Critérios e pesos'!$G$12+(L43="Em parte")*'Critérios e pesos'!$G$12/2+(M43="Claro")*'Critérios e pesos'!$G$13+(M43="Em parte")*'Critérios e pesos'!$G$13/2)</f>
        <v/>
      </c>
      <c r="R43" s="14">
        <f>IF($B43="","",IFERROR(VLOOKUP(N43,'Critérios e pesos'!$B$17:$C$20,2,FALSE),0))</f>
        <v/>
      </c>
      <c r="S43" s="9">
        <f>IF($B43="","",MAX(0,P43+Q43+R43))</f>
        <v/>
      </c>
      <c r="T43" s="9">
        <f>IF($B43="","",IF(O43&lt;&gt;"","X",IF(S43&gt;='Critérios e pesos'!$C$29,"A",IF(S43&gt;='Critérios e pesos'!$C$30,"B","C"))))</f>
        <v/>
      </c>
      <c r="U43" s="14">
        <f>IF(T43="","",INDEX('Critérios e pesos'!$D$29:$D$32,MATCH(T43,'Critérios e pesos'!$A$29:$A$32,0)))</f>
        <v/>
      </c>
      <c r="V43" s="14">
        <f>IF(T43="","",INDEX('Critérios e pesos'!$F$29:$F$32,MATCH(T43,'Critérios e pesos'!$A$29:$A$32,0)))</f>
        <v/>
      </c>
      <c r="W43" s="15">
        <f>IF(OR(AH43="",AJ43=""),"",IF(AI43+AJ43*60&lt;=ROUND('Critérios e pesos'!$C$37*1440,0),INT(AH43)+(AI43+AJ43*60)/1440,WORKDAY(INT(AH43),1+INT((AI43+AJ43*60-ROUND('Critérios e pesos'!$C$37*1440,0)-1)/(ROUND('Critérios e pesos'!$C$37*1440,0)-ROUND('Critérios e pesos'!$C$36*1440,0))))+(ROUND('Critérios e pesos'!$C$36*1440,0)+AI43+AJ43*60-ROUND('Critérios e pesos'!$C$37*1440,0)-INT((AI43+AJ43*60-ROUND('Critérios e pesos'!$C$37*1440,0)-1)/(ROUND('Critérios e pesos'!$C$37*1440,0)-ROUND('Critérios e pesos'!$C$36*1440,0)))*(ROUND('Critérios e pesos'!$C$37*1440,0)-ROUND('Critérios e pesos'!$C$36*1440,0)))/1440))</f>
        <v/>
      </c>
      <c r="X43" s="16" t="n"/>
      <c r="Y43" s="14">
        <f>IF(W43="","",IF(X43="",IF(NOW()&gt;W43,"Atrasado","Em espera"),IF(X43&lt;=W43,"No prazo","Atrasado")))</f>
        <v/>
      </c>
      <c r="Z43" s="17" t="n"/>
      <c r="AA43" s="14">
        <f>IF($B43="","",IF(OR(T43="X",AD43&lt;&gt;""),0,MAX(0,MIN(Q43,'Critérios e pesos'!$C$38*INT((TODAY()-IF(Z43&lt;&gt;"",Z43,INT($A43)))/7)))))</f>
        <v/>
      </c>
      <c r="AB43" s="14">
        <f>IF($B43="","",MAX(0,S43-AA43))</f>
        <v/>
      </c>
      <c r="AC43" s="9">
        <f>IF($B43="","",IF(T43="X","X",IF(AB43&gt;='Critérios e pesos'!$C$29,"A",IF(AB43&gt;='Critérios e pesos'!$C$30,"B","C"))))</f>
        <v/>
      </c>
      <c r="AD43" s="4" t="n"/>
      <c r="AE43" s="18" t="n"/>
      <c r="AF43" s="6" t="n"/>
      <c r="AH43">
        <f>IF($A43="","",IF(OR(WEEKDAY($A43,2)&gt;5,ROUND(MOD($A43,1)*1440,0)&gt;=ROUND('Critérios e pesos'!$C$37*1440,0)),WORKDAY(INT($A43),1)+ROUND('Critérios e pesos'!$C$36*1440,0)/1440,IF(ROUND(MOD($A43,1)*1440,0)&lt;ROUND('Critérios e pesos'!$C$36*1440,0),INT($A43)+ROUND('Critérios e pesos'!$C$36*1440,0)/1440,$A43)))</f>
        <v/>
      </c>
      <c r="AI43">
        <f>IF(AH43="","",ROUND(MOD(AH43,1)*1440,0))</f>
        <v/>
      </c>
      <c r="AJ43">
        <f>IF(T43="","",INDEX('Critérios e pesos'!$E$29:$E$32,MATCH(T43,'Critérios e pesos'!$A$29:$A$32,0)))</f>
        <v/>
      </c>
    </row>
    <row r="44">
      <c r="A44" s="13" t="n"/>
      <c r="B44" s="6" t="n"/>
      <c r="C44" s="6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6" t="n"/>
      <c r="O44" s="6" t="n"/>
      <c r="P44" s="14">
        <f>IF($B44="","",(E44="Claro")*'Critérios e pesos'!$G$5+(E44="Em parte")*'Critérios e pesos'!$G$5/2+(F44="Claro")*'Critérios e pesos'!$G$6+(F44="Em parte")*'Critérios e pesos'!$G$6/2+(G44="Claro")*'Critérios e pesos'!$G$7+(G44="Em parte")*'Critérios e pesos'!$G$7/2+(H44="Claro")*'Critérios e pesos'!$G$8+(H44="Em parte")*'Critérios e pesos'!$G$8/2)</f>
        <v/>
      </c>
      <c r="Q44" s="14">
        <f>IF($B44="","",(I44="Claro")*'Critérios e pesos'!$G$9+(I44="Em parte")*'Critérios e pesos'!$G$9/2+(J44="Claro")*'Critérios e pesos'!$G$10+(J44="Em parte")*'Critérios e pesos'!$G$10/2+(K44="Claro")*'Critérios e pesos'!$G$11+(K44="Em parte")*'Critérios e pesos'!$G$11/2+(L44="Claro")*'Critérios e pesos'!$G$12+(L44="Em parte")*'Critérios e pesos'!$G$12/2+(M44="Claro")*'Critérios e pesos'!$G$13+(M44="Em parte")*'Critérios e pesos'!$G$13/2)</f>
        <v/>
      </c>
      <c r="R44" s="14">
        <f>IF($B44="","",IFERROR(VLOOKUP(N44,'Critérios e pesos'!$B$17:$C$20,2,FALSE),0))</f>
        <v/>
      </c>
      <c r="S44" s="9">
        <f>IF($B44="","",MAX(0,P44+Q44+R44))</f>
        <v/>
      </c>
      <c r="T44" s="9">
        <f>IF($B44="","",IF(O44&lt;&gt;"","X",IF(S44&gt;='Critérios e pesos'!$C$29,"A",IF(S44&gt;='Critérios e pesos'!$C$30,"B","C"))))</f>
        <v/>
      </c>
      <c r="U44" s="14">
        <f>IF(T44="","",INDEX('Critérios e pesos'!$D$29:$D$32,MATCH(T44,'Critérios e pesos'!$A$29:$A$32,0)))</f>
        <v/>
      </c>
      <c r="V44" s="14">
        <f>IF(T44="","",INDEX('Critérios e pesos'!$F$29:$F$32,MATCH(T44,'Critérios e pesos'!$A$29:$A$32,0)))</f>
        <v/>
      </c>
      <c r="W44" s="15">
        <f>IF(OR(AH44="",AJ44=""),"",IF(AI44+AJ44*60&lt;=ROUND('Critérios e pesos'!$C$37*1440,0),INT(AH44)+(AI44+AJ44*60)/1440,WORKDAY(INT(AH44),1+INT((AI44+AJ44*60-ROUND('Critérios e pesos'!$C$37*1440,0)-1)/(ROUND('Critérios e pesos'!$C$37*1440,0)-ROUND('Critérios e pesos'!$C$36*1440,0))))+(ROUND('Critérios e pesos'!$C$36*1440,0)+AI44+AJ44*60-ROUND('Critérios e pesos'!$C$37*1440,0)-INT((AI44+AJ44*60-ROUND('Critérios e pesos'!$C$37*1440,0)-1)/(ROUND('Critérios e pesos'!$C$37*1440,0)-ROUND('Critérios e pesos'!$C$36*1440,0)))*(ROUND('Critérios e pesos'!$C$37*1440,0)-ROUND('Critérios e pesos'!$C$36*1440,0)))/1440))</f>
        <v/>
      </c>
      <c r="X44" s="16" t="n"/>
      <c r="Y44" s="14">
        <f>IF(W44="","",IF(X44="",IF(NOW()&gt;W44,"Atrasado","Em espera"),IF(X44&lt;=W44,"No prazo","Atrasado")))</f>
        <v/>
      </c>
      <c r="Z44" s="17" t="n"/>
      <c r="AA44" s="14">
        <f>IF($B44="","",IF(OR(T44="X",AD44&lt;&gt;""),0,MAX(0,MIN(Q44,'Critérios e pesos'!$C$38*INT((TODAY()-IF(Z44&lt;&gt;"",Z44,INT($A44)))/7)))))</f>
        <v/>
      </c>
      <c r="AB44" s="14">
        <f>IF($B44="","",MAX(0,S44-AA44))</f>
        <v/>
      </c>
      <c r="AC44" s="9">
        <f>IF($B44="","",IF(T44="X","X",IF(AB44&gt;='Critérios e pesos'!$C$29,"A",IF(AB44&gt;='Critérios e pesos'!$C$30,"B","C"))))</f>
        <v/>
      </c>
      <c r="AD44" s="4" t="n"/>
      <c r="AE44" s="18" t="n"/>
      <c r="AF44" s="6" t="n"/>
      <c r="AH44">
        <f>IF($A44="","",IF(OR(WEEKDAY($A44,2)&gt;5,ROUND(MOD($A44,1)*1440,0)&gt;=ROUND('Critérios e pesos'!$C$37*1440,0)),WORKDAY(INT($A44),1)+ROUND('Critérios e pesos'!$C$36*1440,0)/1440,IF(ROUND(MOD($A44,1)*1440,0)&lt;ROUND('Critérios e pesos'!$C$36*1440,0),INT($A44)+ROUND('Critérios e pesos'!$C$36*1440,0)/1440,$A44)))</f>
        <v/>
      </c>
      <c r="AI44">
        <f>IF(AH44="","",ROUND(MOD(AH44,1)*1440,0))</f>
        <v/>
      </c>
      <c r="AJ44">
        <f>IF(T44="","",INDEX('Critérios e pesos'!$E$29:$E$32,MATCH(T44,'Critérios e pesos'!$A$29:$A$32,0)))</f>
        <v/>
      </c>
    </row>
    <row r="45">
      <c r="A45" s="13" t="n"/>
      <c r="B45" s="6" t="n"/>
      <c r="C45" s="6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6" t="n"/>
      <c r="O45" s="6" t="n"/>
      <c r="P45" s="14">
        <f>IF($B45="","",(E45="Claro")*'Critérios e pesos'!$G$5+(E45="Em parte")*'Critérios e pesos'!$G$5/2+(F45="Claro")*'Critérios e pesos'!$G$6+(F45="Em parte")*'Critérios e pesos'!$G$6/2+(G45="Claro")*'Critérios e pesos'!$G$7+(G45="Em parte")*'Critérios e pesos'!$G$7/2+(H45="Claro")*'Critérios e pesos'!$G$8+(H45="Em parte")*'Critérios e pesos'!$G$8/2)</f>
        <v/>
      </c>
      <c r="Q45" s="14">
        <f>IF($B45="","",(I45="Claro")*'Critérios e pesos'!$G$9+(I45="Em parte")*'Critérios e pesos'!$G$9/2+(J45="Claro")*'Critérios e pesos'!$G$10+(J45="Em parte")*'Critérios e pesos'!$G$10/2+(K45="Claro")*'Critérios e pesos'!$G$11+(K45="Em parte")*'Critérios e pesos'!$G$11/2+(L45="Claro")*'Critérios e pesos'!$G$12+(L45="Em parte")*'Critérios e pesos'!$G$12/2+(M45="Claro")*'Critérios e pesos'!$G$13+(M45="Em parte")*'Critérios e pesos'!$G$13/2)</f>
        <v/>
      </c>
      <c r="R45" s="14">
        <f>IF($B45="","",IFERROR(VLOOKUP(N45,'Critérios e pesos'!$B$17:$C$20,2,FALSE),0))</f>
        <v/>
      </c>
      <c r="S45" s="9">
        <f>IF($B45="","",MAX(0,P45+Q45+R45))</f>
        <v/>
      </c>
      <c r="T45" s="9">
        <f>IF($B45="","",IF(O45&lt;&gt;"","X",IF(S45&gt;='Critérios e pesos'!$C$29,"A",IF(S45&gt;='Critérios e pesos'!$C$30,"B","C"))))</f>
        <v/>
      </c>
      <c r="U45" s="14">
        <f>IF(T45="","",INDEX('Critérios e pesos'!$D$29:$D$32,MATCH(T45,'Critérios e pesos'!$A$29:$A$32,0)))</f>
        <v/>
      </c>
      <c r="V45" s="14">
        <f>IF(T45="","",INDEX('Critérios e pesos'!$F$29:$F$32,MATCH(T45,'Critérios e pesos'!$A$29:$A$32,0)))</f>
        <v/>
      </c>
      <c r="W45" s="15">
        <f>IF(OR(AH45="",AJ45=""),"",IF(AI45+AJ45*60&lt;=ROUND('Critérios e pesos'!$C$37*1440,0),INT(AH45)+(AI45+AJ45*60)/1440,WORKDAY(INT(AH45),1+INT((AI45+AJ45*60-ROUND('Critérios e pesos'!$C$37*1440,0)-1)/(ROUND('Critérios e pesos'!$C$37*1440,0)-ROUND('Critérios e pesos'!$C$36*1440,0))))+(ROUND('Critérios e pesos'!$C$36*1440,0)+AI45+AJ45*60-ROUND('Critérios e pesos'!$C$37*1440,0)-INT((AI45+AJ45*60-ROUND('Critérios e pesos'!$C$37*1440,0)-1)/(ROUND('Critérios e pesos'!$C$37*1440,0)-ROUND('Critérios e pesos'!$C$36*1440,0)))*(ROUND('Critérios e pesos'!$C$37*1440,0)-ROUND('Critérios e pesos'!$C$36*1440,0)))/1440))</f>
        <v/>
      </c>
      <c r="X45" s="16" t="n"/>
      <c r="Y45" s="14">
        <f>IF(W45="","",IF(X45="",IF(NOW()&gt;W45,"Atrasado","Em espera"),IF(X45&lt;=W45,"No prazo","Atrasado")))</f>
        <v/>
      </c>
      <c r="Z45" s="17" t="n"/>
      <c r="AA45" s="14">
        <f>IF($B45="","",IF(OR(T45="X",AD45&lt;&gt;""),0,MAX(0,MIN(Q45,'Critérios e pesos'!$C$38*INT((TODAY()-IF(Z45&lt;&gt;"",Z45,INT($A45)))/7)))))</f>
        <v/>
      </c>
      <c r="AB45" s="14">
        <f>IF($B45="","",MAX(0,S45-AA45))</f>
        <v/>
      </c>
      <c r="AC45" s="9">
        <f>IF($B45="","",IF(T45="X","X",IF(AB45&gt;='Critérios e pesos'!$C$29,"A",IF(AB45&gt;='Critérios e pesos'!$C$30,"B","C"))))</f>
        <v/>
      </c>
      <c r="AD45" s="4" t="n"/>
      <c r="AE45" s="18" t="n"/>
      <c r="AF45" s="6" t="n"/>
      <c r="AH45">
        <f>IF($A45="","",IF(OR(WEEKDAY($A45,2)&gt;5,ROUND(MOD($A45,1)*1440,0)&gt;=ROUND('Critérios e pesos'!$C$37*1440,0)),WORKDAY(INT($A45),1)+ROUND('Critérios e pesos'!$C$36*1440,0)/1440,IF(ROUND(MOD($A45,1)*1440,0)&lt;ROUND('Critérios e pesos'!$C$36*1440,0),INT($A45)+ROUND('Critérios e pesos'!$C$36*1440,0)/1440,$A45)))</f>
        <v/>
      </c>
      <c r="AI45">
        <f>IF(AH45="","",ROUND(MOD(AH45,1)*1440,0))</f>
        <v/>
      </c>
      <c r="AJ45">
        <f>IF(T45="","",INDEX('Critérios e pesos'!$E$29:$E$32,MATCH(T45,'Critérios e pesos'!$A$29:$A$32,0)))</f>
        <v/>
      </c>
    </row>
    <row r="46">
      <c r="A46" s="13" t="n"/>
      <c r="B46" s="6" t="n"/>
      <c r="C46" s="6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6" t="n"/>
      <c r="O46" s="6" t="n"/>
      <c r="P46" s="14">
        <f>IF($B46="","",(E46="Claro")*'Critérios e pesos'!$G$5+(E46="Em parte")*'Critérios e pesos'!$G$5/2+(F46="Claro")*'Critérios e pesos'!$G$6+(F46="Em parte")*'Critérios e pesos'!$G$6/2+(G46="Claro")*'Critérios e pesos'!$G$7+(G46="Em parte")*'Critérios e pesos'!$G$7/2+(H46="Claro")*'Critérios e pesos'!$G$8+(H46="Em parte")*'Critérios e pesos'!$G$8/2)</f>
        <v/>
      </c>
      <c r="Q46" s="14">
        <f>IF($B46="","",(I46="Claro")*'Critérios e pesos'!$G$9+(I46="Em parte")*'Critérios e pesos'!$G$9/2+(J46="Claro")*'Critérios e pesos'!$G$10+(J46="Em parte")*'Critérios e pesos'!$G$10/2+(K46="Claro")*'Critérios e pesos'!$G$11+(K46="Em parte")*'Critérios e pesos'!$G$11/2+(L46="Claro")*'Critérios e pesos'!$G$12+(L46="Em parte")*'Critérios e pesos'!$G$12/2+(M46="Claro")*'Critérios e pesos'!$G$13+(M46="Em parte")*'Critérios e pesos'!$G$13/2)</f>
        <v/>
      </c>
      <c r="R46" s="14">
        <f>IF($B46="","",IFERROR(VLOOKUP(N46,'Critérios e pesos'!$B$17:$C$20,2,FALSE),0))</f>
        <v/>
      </c>
      <c r="S46" s="9">
        <f>IF($B46="","",MAX(0,P46+Q46+R46))</f>
        <v/>
      </c>
      <c r="T46" s="9">
        <f>IF($B46="","",IF(O46&lt;&gt;"","X",IF(S46&gt;='Critérios e pesos'!$C$29,"A",IF(S46&gt;='Critérios e pesos'!$C$30,"B","C"))))</f>
        <v/>
      </c>
      <c r="U46" s="14">
        <f>IF(T46="","",INDEX('Critérios e pesos'!$D$29:$D$32,MATCH(T46,'Critérios e pesos'!$A$29:$A$32,0)))</f>
        <v/>
      </c>
      <c r="V46" s="14">
        <f>IF(T46="","",INDEX('Critérios e pesos'!$F$29:$F$32,MATCH(T46,'Critérios e pesos'!$A$29:$A$32,0)))</f>
        <v/>
      </c>
      <c r="W46" s="15">
        <f>IF(OR(AH46="",AJ46=""),"",IF(AI46+AJ46*60&lt;=ROUND('Critérios e pesos'!$C$37*1440,0),INT(AH46)+(AI46+AJ46*60)/1440,WORKDAY(INT(AH46),1+INT((AI46+AJ46*60-ROUND('Critérios e pesos'!$C$37*1440,0)-1)/(ROUND('Critérios e pesos'!$C$37*1440,0)-ROUND('Critérios e pesos'!$C$36*1440,0))))+(ROUND('Critérios e pesos'!$C$36*1440,0)+AI46+AJ46*60-ROUND('Critérios e pesos'!$C$37*1440,0)-INT((AI46+AJ46*60-ROUND('Critérios e pesos'!$C$37*1440,0)-1)/(ROUND('Critérios e pesos'!$C$37*1440,0)-ROUND('Critérios e pesos'!$C$36*1440,0)))*(ROUND('Critérios e pesos'!$C$37*1440,0)-ROUND('Critérios e pesos'!$C$36*1440,0)))/1440))</f>
        <v/>
      </c>
      <c r="X46" s="16" t="n"/>
      <c r="Y46" s="14">
        <f>IF(W46="","",IF(X46="",IF(NOW()&gt;W46,"Atrasado","Em espera"),IF(X46&lt;=W46,"No prazo","Atrasado")))</f>
        <v/>
      </c>
      <c r="Z46" s="17" t="n"/>
      <c r="AA46" s="14">
        <f>IF($B46="","",IF(OR(T46="X",AD46&lt;&gt;""),0,MAX(0,MIN(Q46,'Critérios e pesos'!$C$38*INT((TODAY()-IF(Z46&lt;&gt;"",Z46,INT($A46)))/7)))))</f>
        <v/>
      </c>
      <c r="AB46" s="14">
        <f>IF($B46="","",MAX(0,S46-AA46))</f>
        <v/>
      </c>
      <c r="AC46" s="9">
        <f>IF($B46="","",IF(T46="X","X",IF(AB46&gt;='Critérios e pesos'!$C$29,"A",IF(AB46&gt;='Critérios e pesos'!$C$30,"B","C"))))</f>
        <v/>
      </c>
      <c r="AD46" s="4" t="n"/>
      <c r="AE46" s="18" t="n"/>
      <c r="AF46" s="6" t="n"/>
      <c r="AH46">
        <f>IF($A46="","",IF(OR(WEEKDAY($A46,2)&gt;5,ROUND(MOD($A46,1)*1440,0)&gt;=ROUND('Critérios e pesos'!$C$37*1440,0)),WORKDAY(INT($A46),1)+ROUND('Critérios e pesos'!$C$36*1440,0)/1440,IF(ROUND(MOD($A46,1)*1440,0)&lt;ROUND('Critérios e pesos'!$C$36*1440,0),INT($A46)+ROUND('Critérios e pesos'!$C$36*1440,0)/1440,$A46)))</f>
        <v/>
      </c>
      <c r="AI46">
        <f>IF(AH46="","",ROUND(MOD(AH46,1)*1440,0))</f>
        <v/>
      </c>
      <c r="AJ46">
        <f>IF(T46="","",INDEX('Critérios e pesos'!$E$29:$E$32,MATCH(T46,'Critérios e pesos'!$A$29:$A$32,0)))</f>
        <v/>
      </c>
    </row>
    <row r="47">
      <c r="A47" s="13" t="n"/>
      <c r="B47" s="6" t="n"/>
      <c r="C47" s="6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6" t="n"/>
      <c r="O47" s="6" t="n"/>
      <c r="P47" s="14">
        <f>IF($B47="","",(E47="Claro")*'Critérios e pesos'!$G$5+(E47="Em parte")*'Critérios e pesos'!$G$5/2+(F47="Claro")*'Critérios e pesos'!$G$6+(F47="Em parte")*'Critérios e pesos'!$G$6/2+(G47="Claro")*'Critérios e pesos'!$G$7+(G47="Em parte")*'Critérios e pesos'!$G$7/2+(H47="Claro")*'Critérios e pesos'!$G$8+(H47="Em parte")*'Critérios e pesos'!$G$8/2)</f>
        <v/>
      </c>
      <c r="Q47" s="14">
        <f>IF($B47="","",(I47="Claro")*'Critérios e pesos'!$G$9+(I47="Em parte")*'Critérios e pesos'!$G$9/2+(J47="Claro")*'Critérios e pesos'!$G$10+(J47="Em parte")*'Critérios e pesos'!$G$10/2+(K47="Claro")*'Critérios e pesos'!$G$11+(K47="Em parte")*'Critérios e pesos'!$G$11/2+(L47="Claro")*'Critérios e pesos'!$G$12+(L47="Em parte")*'Critérios e pesos'!$G$12/2+(M47="Claro")*'Critérios e pesos'!$G$13+(M47="Em parte")*'Critérios e pesos'!$G$13/2)</f>
        <v/>
      </c>
      <c r="R47" s="14">
        <f>IF($B47="","",IFERROR(VLOOKUP(N47,'Critérios e pesos'!$B$17:$C$20,2,FALSE),0))</f>
        <v/>
      </c>
      <c r="S47" s="9">
        <f>IF($B47="","",MAX(0,P47+Q47+R47))</f>
        <v/>
      </c>
      <c r="T47" s="9">
        <f>IF($B47="","",IF(O47&lt;&gt;"","X",IF(S47&gt;='Critérios e pesos'!$C$29,"A",IF(S47&gt;='Critérios e pesos'!$C$30,"B","C"))))</f>
        <v/>
      </c>
      <c r="U47" s="14">
        <f>IF(T47="","",INDEX('Critérios e pesos'!$D$29:$D$32,MATCH(T47,'Critérios e pesos'!$A$29:$A$32,0)))</f>
        <v/>
      </c>
      <c r="V47" s="14">
        <f>IF(T47="","",INDEX('Critérios e pesos'!$F$29:$F$32,MATCH(T47,'Critérios e pesos'!$A$29:$A$32,0)))</f>
        <v/>
      </c>
      <c r="W47" s="15">
        <f>IF(OR(AH47="",AJ47=""),"",IF(AI47+AJ47*60&lt;=ROUND('Critérios e pesos'!$C$37*1440,0),INT(AH47)+(AI47+AJ47*60)/1440,WORKDAY(INT(AH47),1+INT((AI47+AJ47*60-ROUND('Critérios e pesos'!$C$37*1440,0)-1)/(ROUND('Critérios e pesos'!$C$37*1440,0)-ROUND('Critérios e pesos'!$C$36*1440,0))))+(ROUND('Critérios e pesos'!$C$36*1440,0)+AI47+AJ47*60-ROUND('Critérios e pesos'!$C$37*1440,0)-INT((AI47+AJ47*60-ROUND('Critérios e pesos'!$C$37*1440,0)-1)/(ROUND('Critérios e pesos'!$C$37*1440,0)-ROUND('Critérios e pesos'!$C$36*1440,0)))*(ROUND('Critérios e pesos'!$C$37*1440,0)-ROUND('Critérios e pesos'!$C$36*1440,0)))/1440))</f>
        <v/>
      </c>
      <c r="X47" s="16" t="n"/>
      <c r="Y47" s="14">
        <f>IF(W47="","",IF(X47="",IF(NOW()&gt;W47,"Atrasado","Em espera"),IF(X47&lt;=W47,"No prazo","Atrasado")))</f>
        <v/>
      </c>
      <c r="Z47" s="17" t="n"/>
      <c r="AA47" s="14">
        <f>IF($B47="","",IF(OR(T47="X",AD47&lt;&gt;""),0,MAX(0,MIN(Q47,'Critérios e pesos'!$C$38*INT((TODAY()-IF(Z47&lt;&gt;"",Z47,INT($A47)))/7)))))</f>
        <v/>
      </c>
      <c r="AB47" s="14">
        <f>IF($B47="","",MAX(0,S47-AA47))</f>
        <v/>
      </c>
      <c r="AC47" s="9">
        <f>IF($B47="","",IF(T47="X","X",IF(AB47&gt;='Critérios e pesos'!$C$29,"A",IF(AB47&gt;='Critérios e pesos'!$C$30,"B","C"))))</f>
        <v/>
      </c>
      <c r="AD47" s="4" t="n"/>
      <c r="AE47" s="18" t="n"/>
      <c r="AF47" s="6" t="n"/>
      <c r="AH47">
        <f>IF($A47="","",IF(OR(WEEKDAY($A47,2)&gt;5,ROUND(MOD($A47,1)*1440,0)&gt;=ROUND('Critérios e pesos'!$C$37*1440,0)),WORKDAY(INT($A47),1)+ROUND('Critérios e pesos'!$C$36*1440,0)/1440,IF(ROUND(MOD($A47,1)*1440,0)&lt;ROUND('Critérios e pesos'!$C$36*1440,0),INT($A47)+ROUND('Critérios e pesos'!$C$36*1440,0)/1440,$A47)))</f>
        <v/>
      </c>
      <c r="AI47">
        <f>IF(AH47="","",ROUND(MOD(AH47,1)*1440,0))</f>
        <v/>
      </c>
      <c r="AJ47">
        <f>IF(T47="","",INDEX('Critérios e pesos'!$E$29:$E$32,MATCH(T47,'Critérios e pesos'!$A$29:$A$32,0)))</f>
        <v/>
      </c>
    </row>
    <row r="48">
      <c r="A48" s="13" t="n"/>
      <c r="B48" s="6" t="n"/>
      <c r="C48" s="6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6" t="n"/>
      <c r="O48" s="6" t="n"/>
      <c r="P48" s="14">
        <f>IF($B48="","",(E48="Claro")*'Critérios e pesos'!$G$5+(E48="Em parte")*'Critérios e pesos'!$G$5/2+(F48="Claro")*'Critérios e pesos'!$G$6+(F48="Em parte")*'Critérios e pesos'!$G$6/2+(G48="Claro")*'Critérios e pesos'!$G$7+(G48="Em parte")*'Critérios e pesos'!$G$7/2+(H48="Claro")*'Critérios e pesos'!$G$8+(H48="Em parte")*'Critérios e pesos'!$G$8/2)</f>
        <v/>
      </c>
      <c r="Q48" s="14">
        <f>IF($B48="","",(I48="Claro")*'Critérios e pesos'!$G$9+(I48="Em parte")*'Critérios e pesos'!$G$9/2+(J48="Claro")*'Critérios e pesos'!$G$10+(J48="Em parte")*'Critérios e pesos'!$G$10/2+(K48="Claro")*'Critérios e pesos'!$G$11+(K48="Em parte")*'Critérios e pesos'!$G$11/2+(L48="Claro")*'Critérios e pesos'!$G$12+(L48="Em parte")*'Critérios e pesos'!$G$12/2+(M48="Claro")*'Critérios e pesos'!$G$13+(M48="Em parte")*'Critérios e pesos'!$G$13/2)</f>
        <v/>
      </c>
      <c r="R48" s="14">
        <f>IF($B48="","",IFERROR(VLOOKUP(N48,'Critérios e pesos'!$B$17:$C$20,2,FALSE),0))</f>
        <v/>
      </c>
      <c r="S48" s="9">
        <f>IF($B48="","",MAX(0,P48+Q48+R48))</f>
        <v/>
      </c>
      <c r="T48" s="9">
        <f>IF($B48="","",IF(O48&lt;&gt;"","X",IF(S48&gt;='Critérios e pesos'!$C$29,"A",IF(S48&gt;='Critérios e pesos'!$C$30,"B","C"))))</f>
        <v/>
      </c>
      <c r="U48" s="14">
        <f>IF(T48="","",INDEX('Critérios e pesos'!$D$29:$D$32,MATCH(T48,'Critérios e pesos'!$A$29:$A$32,0)))</f>
        <v/>
      </c>
      <c r="V48" s="14">
        <f>IF(T48="","",INDEX('Critérios e pesos'!$F$29:$F$32,MATCH(T48,'Critérios e pesos'!$A$29:$A$32,0)))</f>
        <v/>
      </c>
      <c r="W48" s="15">
        <f>IF(OR(AH48="",AJ48=""),"",IF(AI48+AJ48*60&lt;=ROUND('Critérios e pesos'!$C$37*1440,0),INT(AH48)+(AI48+AJ48*60)/1440,WORKDAY(INT(AH48),1+INT((AI48+AJ48*60-ROUND('Critérios e pesos'!$C$37*1440,0)-1)/(ROUND('Critérios e pesos'!$C$37*1440,0)-ROUND('Critérios e pesos'!$C$36*1440,0))))+(ROUND('Critérios e pesos'!$C$36*1440,0)+AI48+AJ48*60-ROUND('Critérios e pesos'!$C$37*1440,0)-INT((AI48+AJ48*60-ROUND('Critérios e pesos'!$C$37*1440,0)-1)/(ROUND('Critérios e pesos'!$C$37*1440,0)-ROUND('Critérios e pesos'!$C$36*1440,0)))*(ROUND('Critérios e pesos'!$C$37*1440,0)-ROUND('Critérios e pesos'!$C$36*1440,0)))/1440))</f>
        <v/>
      </c>
      <c r="X48" s="16" t="n"/>
      <c r="Y48" s="14">
        <f>IF(W48="","",IF(X48="",IF(NOW()&gt;W48,"Atrasado","Em espera"),IF(X48&lt;=W48,"No prazo","Atrasado")))</f>
        <v/>
      </c>
      <c r="Z48" s="17" t="n"/>
      <c r="AA48" s="14">
        <f>IF($B48="","",IF(OR(T48="X",AD48&lt;&gt;""),0,MAX(0,MIN(Q48,'Critérios e pesos'!$C$38*INT((TODAY()-IF(Z48&lt;&gt;"",Z48,INT($A48)))/7)))))</f>
        <v/>
      </c>
      <c r="AB48" s="14">
        <f>IF($B48="","",MAX(0,S48-AA48))</f>
        <v/>
      </c>
      <c r="AC48" s="9">
        <f>IF($B48="","",IF(T48="X","X",IF(AB48&gt;='Critérios e pesos'!$C$29,"A",IF(AB48&gt;='Critérios e pesos'!$C$30,"B","C"))))</f>
        <v/>
      </c>
      <c r="AD48" s="4" t="n"/>
      <c r="AE48" s="18" t="n"/>
      <c r="AF48" s="6" t="n"/>
      <c r="AH48">
        <f>IF($A48="","",IF(OR(WEEKDAY($A48,2)&gt;5,ROUND(MOD($A48,1)*1440,0)&gt;=ROUND('Critérios e pesos'!$C$37*1440,0)),WORKDAY(INT($A48),1)+ROUND('Critérios e pesos'!$C$36*1440,0)/1440,IF(ROUND(MOD($A48,1)*1440,0)&lt;ROUND('Critérios e pesos'!$C$36*1440,0),INT($A48)+ROUND('Critérios e pesos'!$C$36*1440,0)/1440,$A48)))</f>
        <v/>
      </c>
      <c r="AI48">
        <f>IF(AH48="","",ROUND(MOD(AH48,1)*1440,0))</f>
        <v/>
      </c>
      <c r="AJ48">
        <f>IF(T48="","",INDEX('Critérios e pesos'!$E$29:$E$32,MATCH(T48,'Critérios e pesos'!$A$29:$A$32,0)))</f>
        <v/>
      </c>
    </row>
    <row r="49">
      <c r="A49" s="13" t="n"/>
      <c r="B49" s="6" t="n"/>
      <c r="C49" s="6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6" t="n"/>
      <c r="O49" s="6" t="n"/>
      <c r="P49" s="14">
        <f>IF($B49="","",(E49="Claro")*'Critérios e pesos'!$G$5+(E49="Em parte")*'Critérios e pesos'!$G$5/2+(F49="Claro")*'Critérios e pesos'!$G$6+(F49="Em parte")*'Critérios e pesos'!$G$6/2+(G49="Claro")*'Critérios e pesos'!$G$7+(G49="Em parte")*'Critérios e pesos'!$G$7/2+(H49="Claro")*'Critérios e pesos'!$G$8+(H49="Em parte")*'Critérios e pesos'!$G$8/2)</f>
        <v/>
      </c>
      <c r="Q49" s="14">
        <f>IF($B49="","",(I49="Claro")*'Critérios e pesos'!$G$9+(I49="Em parte")*'Critérios e pesos'!$G$9/2+(J49="Claro")*'Critérios e pesos'!$G$10+(J49="Em parte")*'Critérios e pesos'!$G$10/2+(K49="Claro")*'Critérios e pesos'!$G$11+(K49="Em parte")*'Critérios e pesos'!$G$11/2+(L49="Claro")*'Critérios e pesos'!$G$12+(L49="Em parte")*'Critérios e pesos'!$G$12/2+(M49="Claro")*'Critérios e pesos'!$G$13+(M49="Em parte")*'Critérios e pesos'!$G$13/2)</f>
        <v/>
      </c>
      <c r="R49" s="14">
        <f>IF($B49="","",IFERROR(VLOOKUP(N49,'Critérios e pesos'!$B$17:$C$20,2,FALSE),0))</f>
        <v/>
      </c>
      <c r="S49" s="9">
        <f>IF($B49="","",MAX(0,P49+Q49+R49))</f>
        <v/>
      </c>
      <c r="T49" s="9">
        <f>IF($B49="","",IF(O49&lt;&gt;"","X",IF(S49&gt;='Critérios e pesos'!$C$29,"A",IF(S49&gt;='Critérios e pesos'!$C$30,"B","C"))))</f>
        <v/>
      </c>
      <c r="U49" s="14">
        <f>IF(T49="","",INDEX('Critérios e pesos'!$D$29:$D$32,MATCH(T49,'Critérios e pesos'!$A$29:$A$32,0)))</f>
        <v/>
      </c>
      <c r="V49" s="14">
        <f>IF(T49="","",INDEX('Critérios e pesos'!$F$29:$F$32,MATCH(T49,'Critérios e pesos'!$A$29:$A$32,0)))</f>
        <v/>
      </c>
      <c r="W49" s="15">
        <f>IF(OR(AH49="",AJ49=""),"",IF(AI49+AJ49*60&lt;=ROUND('Critérios e pesos'!$C$37*1440,0),INT(AH49)+(AI49+AJ49*60)/1440,WORKDAY(INT(AH49),1+INT((AI49+AJ49*60-ROUND('Critérios e pesos'!$C$37*1440,0)-1)/(ROUND('Critérios e pesos'!$C$37*1440,0)-ROUND('Critérios e pesos'!$C$36*1440,0))))+(ROUND('Critérios e pesos'!$C$36*1440,0)+AI49+AJ49*60-ROUND('Critérios e pesos'!$C$37*1440,0)-INT((AI49+AJ49*60-ROUND('Critérios e pesos'!$C$37*1440,0)-1)/(ROUND('Critérios e pesos'!$C$37*1440,0)-ROUND('Critérios e pesos'!$C$36*1440,0)))*(ROUND('Critérios e pesos'!$C$37*1440,0)-ROUND('Critérios e pesos'!$C$36*1440,0)))/1440))</f>
        <v/>
      </c>
      <c r="X49" s="16" t="n"/>
      <c r="Y49" s="14">
        <f>IF(W49="","",IF(X49="",IF(NOW()&gt;W49,"Atrasado","Em espera"),IF(X49&lt;=W49,"No prazo","Atrasado")))</f>
        <v/>
      </c>
      <c r="Z49" s="17" t="n"/>
      <c r="AA49" s="14">
        <f>IF($B49="","",IF(OR(T49="X",AD49&lt;&gt;""),0,MAX(0,MIN(Q49,'Critérios e pesos'!$C$38*INT((TODAY()-IF(Z49&lt;&gt;"",Z49,INT($A49)))/7)))))</f>
        <v/>
      </c>
      <c r="AB49" s="14">
        <f>IF($B49="","",MAX(0,S49-AA49))</f>
        <v/>
      </c>
      <c r="AC49" s="9">
        <f>IF($B49="","",IF(T49="X","X",IF(AB49&gt;='Critérios e pesos'!$C$29,"A",IF(AB49&gt;='Critérios e pesos'!$C$30,"B","C"))))</f>
        <v/>
      </c>
      <c r="AD49" s="4" t="n"/>
      <c r="AE49" s="18" t="n"/>
      <c r="AF49" s="6" t="n"/>
      <c r="AH49">
        <f>IF($A49="","",IF(OR(WEEKDAY($A49,2)&gt;5,ROUND(MOD($A49,1)*1440,0)&gt;=ROUND('Critérios e pesos'!$C$37*1440,0)),WORKDAY(INT($A49),1)+ROUND('Critérios e pesos'!$C$36*1440,0)/1440,IF(ROUND(MOD($A49,1)*1440,0)&lt;ROUND('Critérios e pesos'!$C$36*1440,0),INT($A49)+ROUND('Critérios e pesos'!$C$36*1440,0)/1440,$A49)))</f>
        <v/>
      </c>
      <c r="AI49">
        <f>IF(AH49="","",ROUND(MOD(AH49,1)*1440,0))</f>
        <v/>
      </c>
      <c r="AJ49">
        <f>IF(T49="","",INDEX('Critérios e pesos'!$E$29:$E$32,MATCH(T49,'Critérios e pesos'!$A$29:$A$32,0)))</f>
        <v/>
      </c>
    </row>
    <row r="50">
      <c r="A50" s="13" t="n"/>
      <c r="B50" s="6" t="n"/>
      <c r="C50" s="6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6" t="n"/>
      <c r="O50" s="6" t="n"/>
      <c r="P50" s="14">
        <f>IF($B50="","",(E50="Claro")*'Critérios e pesos'!$G$5+(E50="Em parte")*'Critérios e pesos'!$G$5/2+(F50="Claro")*'Critérios e pesos'!$G$6+(F50="Em parte")*'Critérios e pesos'!$G$6/2+(G50="Claro")*'Critérios e pesos'!$G$7+(G50="Em parte")*'Critérios e pesos'!$G$7/2+(H50="Claro")*'Critérios e pesos'!$G$8+(H50="Em parte")*'Critérios e pesos'!$G$8/2)</f>
        <v/>
      </c>
      <c r="Q50" s="14">
        <f>IF($B50="","",(I50="Claro")*'Critérios e pesos'!$G$9+(I50="Em parte")*'Critérios e pesos'!$G$9/2+(J50="Claro")*'Critérios e pesos'!$G$10+(J50="Em parte")*'Critérios e pesos'!$G$10/2+(K50="Claro")*'Critérios e pesos'!$G$11+(K50="Em parte")*'Critérios e pesos'!$G$11/2+(L50="Claro")*'Critérios e pesos'!$G$12+(L50="Em parte")*'Critérios e pesos'!$G$12/2+(M50="Claro")*'Critérios e pesos'!$G$13+(M50="Em parte")*'Critérios e pesos'!$G$13/2)</f>
        <v/>
      </c>
      <c r="R50" s="14">
        <f>IF($B50="","",IFERROR(VLOOKUP(N50,'Critérios e pesos'!$B$17:$C$20,2,FALSE),0))</f>
        <v/>
      </c>
      <c r="S50" s="9">
        <f>IF($B50="","",MAX(0,P50+Q50+R50))</f>
        <v/>
      </c>
      <c r="T50" s="9">
        <f>IF($B50="","",IF(O50&lt;&gt;"","X",IF(S50&gt;='Critérios e pesos'!$C$29,"A",IF(S50&gt;='Critérios e pesos'!$C$30,"B","C"))))</f>
        <v/>
      </c>
      <c r="U50" s="14">
        <f>IF(T50="","",INDEX('Critérios e pesos'!$D$29:$D$32,MATCH(T50,'Critérios e pesos'!$A$29:$A$32,0)))</f>
        <v/>
      </c>
      <c r="V50" s="14">
        <f>IF(T50="","",INDEX('Critérios e pesos'!$F$29:$F$32,MATCH(T50,'Critérios e pesos'!$A$29:$A$32,0)))</f>
        <v/>
      </c>
      <c r="W50" s="15">
        <f>IF(OR(AH50="",AJ50=""),"",IF(AI50+AJ50*60&lt;=ROUND('Critérios e pesos'!$C$37*1440,0),INT(AH50)+(AI50+AJ50*60)/1440,WORKDAY(INT(AH50),1+INT((AI50+AJ50*60-ROUND('Critérios e pesos'!$C$37*1440,0)-1)/(ROUND('Critérios e pesos'!$C$37*1440,0)-ROUND('Critérios e pesos'!$C$36*1440,0))))+(ROUND('Critérios e pesos'!$C$36*1440,0)+AI50+AJ50*60-ROUND('Critérios e pesos'!$C$37*1440,0)-INT((AI50+AJ50*60-ROUND('Critérios e pesos'!$C$37*1440,0)-1)/(ROUND('Critérios e pesos'!$C$37*1440,0)-ROUND('Critérios e pesos'!$C$36*1440,0)))*(ROUND('Critérios e pesos'!$C$37*1440,0)-ROUND('Critérios e pesos'!$C$36*1440,0)))/1440))</f>
        <v/>
      </c>
      <c r="X50" s="16" t="n"/>
      <c r="Y50" s="14">
        <f>IF(W50="","",IF(X50="",IF(NOW()&gt;W50,"Atrasado","Em espera"),IF(X50&lt;=W50,"No prazo","Atrasado")))</f>
        <v/>
      </c>
      <c r="Z50" s="17" t="n"/>
      <c r="AA50" s="14">
        <f>IF($B50="","",IF(OR(T50="X",AD50&lt;&gt;""),0,MAX(0,MIN(Q50,'Critérios e pesos'!$C$38*INT((TODAY()-IF(Z50&lt;&gt;"",Z50,INT($A50)))/7)))))</f>
        <v/>
      </c>
      <c r="AB50" s="14">
        <f>IF($B50="","",MAX(0,S50-AA50))</f>
        <v/>
      </c>
      <c r="AC50" s="9">
        <f>IF($B50="","",IF(T50="X","X",IF(AB50&gt;='Critérios e pesos'!$C$29,"A",IF(AB50&gt;='Critérios e pesos'!$C$30,"B","C"))))</f>
        <v/>
      </c>
      <c r="AD50" s="4" t="n"/>
      <c r="AE50" s="18" t="n"/>
      <c r="AF50" s="6" t="n"/>
      <c r="AH50">
        <f>IF($A50="","",IF(OR(WEEKDAY($A50,2)&gt;5,ROUND(MOD($A50,1)*1440,0)&gt;=ROUND('Critérios e pesos'!$C$37*1440,0)),WORKDAY(INT($A50),1)+ROUND('Critérios e pesos'!$C$36*1440,0)/1440,IF(ROUND(MOD($A50,1)*1440,0)&lt;ROUND('Critérios e pesos'!$C$36*1440,0),INT($A50)+ROUND('Critérios e pesos'!$C$36*1440,0)/1440,$A50)))</f>
        <v/>
      </c>
      <c r="AI50">
        <f>IF(AH50="","",ROUND(MOD(AH50,1)*1440,0))</f>
        <v/>
      </c>
      <c r="AJ50">
        <f>IF(T50="","",INDEX('Critérios e pesos'!$E$29:$E$32,MATCH(T50,'Critérios e pesos'!$A$29:$A$32,0)))</f>
        <v/>
      </c>
    </row>
    <row r="51">
      <c r="A51" s="13" t="n"/>
      <c r="B51" s="6" t="n"/>
      <c r="C51" s="6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6" t="n"/>
      <c r="O51" s="6" t="n"/>
      <c r="P51" s="14">
        <f>IF($B51="","",(E51="Claro")*'Critérios e pesos'!$G$5+(E51="Em parte")*'Critérios e pesos'!$G$5/2+(F51="Claro")*'Critérios e pesos'!$G$6+(F51="Em parte")*'Critérios e pesos'!$G$6/2+(G51="Claro")*'Critérios e pesos'!$G$7+(G51="Em parte")*'Critérios e pesos'!$G$7/2+(H51="Claro")*'Critérios e pesos'!$G$8+(H51="Em parte")*'Critérios e pesos'!$G$8/2)</f>
        <v/>
      </c>
      <c r="Q51" s="14">
        <f>IF($B51="","",(I51="Claro")*'Critérios e pesos'!$G$9+(I51="Em parte")*'Critérios e pesos'!$G$9/2+(J51="Claro")*'Critérios e pesos'!$G$10+(J51="Em parte")*'Critérios e pesos'!$G$10/2+(K51="Claro")*'Critérios e pesos'!$G$11+(K51="Em parte")*'Critérios e pesos'!$G$11/2+(L51="Claro")*'Critérios e pesos'!$G$12+(L51="Em parte")*'Critérios e pesos'!$G$12/2+(M51="Claro")*'Critérios e pesos'!$G$13+(M51="Em parte")*'Critérios e pesos'!$G$13/2)</f>
        <v/>
      </c>
      <c r="R51" s="14">
        <f>IF($B51="","",IFERROR(VLOOKUP(N51,'Critérios e pesos'!$B$17:$C$20,2,FALSE),0))</f>
        <v/>
      </c>
      <c r="S51" s="9">
        <f>IF($B51="","",MAX(0,P51+Q51+R51))</f>
        <v/>
      </c>
      <c r="T51" s="9">
        <f>IF($B51="","",IF(O51&lt;&gt;"","X",IF(S51&gt;='Critérios e pesos'!$C$29,"A",IF(S51&gt;='Critérios e pesos'!$C$30,"B","C"))))</f>
        <v/>
      </c>
      <c r="U51" s="14">
        <f>IF(T51="","",INDEX('Critérios e pesos'!$D$29:$D$32,MATCH(T51,'Critérios e pesos'!$A$29:$A$32,0)))</f>
        <v/>
      </c>
      <c r="V51" s="14">
        <f>IF(T51="","",INDEX('Critérios e pesos'!$F$29:$F$32,MATCH(T51,'Critérios e pesos'!$A$29:$A$32,0)))</f>
        <v/>
      </c>
      <c r="W51" s="15">
        <f>IF(OR(AH51="",AJ51=""),"",IF(AI51+AJ51*60&lt;=ROUND('Critérios e pesos'!$C$37*1440,0),INT(AH51)+(AI51+AJ51*60)/1440,WORKDAY(INT(AH51),1+INT((AI51+AJ51*60-ROUND('Critérios e pesos'!$C$37*1440,0)-1)/(ROUND('Critérios e pesos'!$C$37*1440,0)-ROUND('Critérios e pesos'!$C$36*1440,0))))+(ROUND('Critérios e pesos'!$C$36*1440,0)+AI51+AJ51*60-ROUND('Critérios e pesos'!$C$37*1440,0)-INT((AI51+AJ51*60-ROUND('Critérios e pesos'!$C$37*1440,0)-1)/(ROUND('Critérios e pesos'!$C$37*1440,0)-ROUND('Critérios e pesos'!$C$36*1440,0)))*(ROUND('Critérios e pesos'!$C$37*1440,0)-ROUND('Critérios e pesos'!$C$36*1440,0)))/1440))</f>
        <v/>
      </c>
      <c r="X51" s="16" t="n"/>
      <c r="Y51" s="14">
        <f>IF(W51="","",IF(X51="",IF(NOW()&gt;W51,"Atrasado","Em espera"),IF(X51&lt;=W51,"No prazo","Atrasado")))</f>
        <v/>
      </c>
      <c r="Z51" s="17" t="n"/>
      <c r="AA51" s="14">
        <f>IF($B51="","",IF(OR(T51="X",AD51&lt;&gt;""),0,MAX(0,MIN(Q51,'Critérios e pesos'!$C$38*INT((TODAY()-IF(Z51&lt;&gt;"",Z51,INT($A51)))/7)))))</f>
        <v/>
      </c>
      <c r="AB51" s="14">
        <f>IF($B51="","",MAX(0,S51-AA51))</f>
        <v/>
      </c>
      <c r="AC51" s="9">
        <f>IF($B51="","",IF(T51="X","X",IF(AB51&gt;='Critérios e pesos'!$C$29,"A",IF(AB51&gt;='Critérios e pesos'!$C$30,"B","C"))))</f>
        <v/>
      </c>
      <c r="AD51" s="4" t="n"/>
      <c r="AE51" s="18" t="n"/>
      <c r="AF51" s="6" t="n"/>
      <c r="AH51">
        <f>IF($A51="","",IF(OR(WEEKDAY($A51,2)&gt;5,ROUND(MOD($A51,1)*1440,0)&gt;=ROUND('Critérios e pesos'!$C$37*1440,0)),WORKDAY(INT($A51),1)+ROUND('Critérios e pesos'!$C$36*1440,0)/1440,IF(ROUND(MOD($A51,1)*1440,0)&lt;ROUND('Critérios e pesos'!$C$36*1440,0),INT($A51)+ROUND('Critérios e pesos'!$C$36*1440,0)/1440,$A51)))</f>
        <v/>
      </c>
      <c r="AI51">
        <f>IF(AH51="","",ROUND(MOD(AH51,1)*1440,0))</f>
        <v/>
      </c>
      <c r="AJ51">
        <f>IF(T51="","",INDEX('Critérios e pesos'!$E$29:$E$32,MATCH(T51,'Critérios e pesos'!$A$29:$A$32,0)))</f>
        <v/>
      </c>
    </row>
    <row r="52">
      <c r="A52" s="13" t="n"/>
      <c r="B52" s="6" t="n"/>
      <c r="C52" s="6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6" t="n"/>
      <c r="O52" s="6" t="n"/>
      <c r="P52" s="14">
        <f>IF($B52="","",(E52="Claro")*'Critérios e pesos'!$G$5+(E52="Em parte")*'Critérios e pesos'!$G$5/2+(F52="Claro")*'Critérios e pesos'!$G$6+(F52="Em parte")*'Critérios e pesos'!$G$6/2+(G52="Claro")*'Critérios e pesos'!$G$7+(G52="Em parte")*'Critérios e pesos'!$G$7/2+(H52="Claro")*'Critérios e pesos'!$G$8+(H52="Em parte")*'Critérios e pesos'!$G$8/2)</f>
        <v/>
      </c>
      <c r="Q52" s="14">
        <f>IF($B52="","",(I52="Claro")*'Critérios e pesos'!$G$9+(I52="Em parte")*'Critérios e pesos'!$G$9/2+(J52="Claro")*'Critérios e pesos'!$G$10+(J52="Em parte")*'Critérios e pesos'!$G$10/2+(K52="Claro")*'Critérios e pesos'!$G$11+(K52="Em parte")*'Critérios e pesos'!$G$11/2+(L52="Claro")*'Critérios e pesos'!$G$12+(L52="Em parte")*'Critérios e pesos'!$G$12/2+(M52="Claro")*'Critérios e pesos'!$G$13+(M52="Em parte")*'Critérios e pesos'!$G$13/2)</f>
        <v/>
      </c>
      <c r="R52" s="14">
        <f>IF($B52="","",IFERROR(VLOOKUP(N52,'Critérios e pesos'!$B$17:$C$20,2,FALSE),0))</f>
        <v/>
      </c>
      <c r="S52" s="9">
        <f>IF($B52="","",MAX(0,P52+Q52+R52))</f>
        <v/>
      </c>
      <c r="T52" s="9">
        <f>IF($B52="","",IF(O52&lt;&gt;"","X",IF(S52&gt;='Critérios e pesos'!$C$29,"A",IF(S52&gt;='Critérios e pesos'!$C$30,"B","C"))))</f>
        <v/>
      </c>
      <c r="U52" s="14">
        <f>IF(T52="","",INDEX('Critérios e pesos'!$D$29:$D$32,MATCH(T52,'Critérios e pesos'!$A$29:$A$32,0)))</f>
        <v/>
      </c>
      <c r="V52" s="14">
        <f>IF(T52="","",INDEX('Critérios e pesos'!$F$29:$F$32,MATCH(T52,'Critérios e pesos'!$A$29:$A$32,0)))</f>
        <v/>
      </c>
      <c r="W52" s="15">
        <f>IF(OR(AH52="",AJ52=""),"",IF(AI52+AJ52*60&lt;=ROUND('Critérios e pesos'!$C$37*1440,0),INT(AH52)+(AI52+AJ52*60)/1440,WORKDAY(INT(AH52),1+INT((AI52+AJ52*60-ROUND('Critérios e pesos'!$C$37*1440,0)-1)/(ROUND('Critérios e pesos'!$C$37*1440,0)-ROUND('Critérios e pesos'!$C$36*1440,0))))+(ROUND('Critérios e pesos'!$C$36*1440,0)+AI52+AJ52*60-ROUND('Critérios e pesos'!$C$37*1440,0)-INT((AI52+AJ52*60-ROUND('Critérios e pesos'!$C$37*1440,0)-1)/(ROUND('Critérios e pesos'!$C$37*1440,0)-ROUND('Critérios e pesos'!$C$36*1440,0)))*(ROUND('Critérios e pesos'!$C$37*1440,0)-ROUND('Critérios e pesos'!$C$36*1440,0)))/1440))</f>
        <v/>
      </c>
      <c r="X52" s="16" t="n"/>
      <c r="Y52" s="14">
        <f>IF(W52="","",IF(X52="",IF(NOW()&gt;W52,"Atrasado","Em espera"),IF(X52&lt;=W52,"No prazo","Atrasado")))</f>
        <v/>
      </c>
      <c r="Z52" s="17" t="n"/>
      <c r="AA52" s="14">
        <f>IF($B52="","",IF(OR(T52="X",AD52&lt;&gt;""),0,MAX(0,MIN(Q52,'Critérios e pesos'!$C$38*INT((TODAY()-IF(Z52&lt;&gt;"",Z52,INT($A52)))/7)))))</f>
        <v/>
      </c>
      <c r="AB52" s="14">
        <f>IF($B52="","",MAX(0,S52-AA52))</f>
        <v/>
      </c>
      <c r="AC52" s="9">
        <f>IF($B52="","",IF(T52="X","X",IF(AB52&gt;='Critérios e pesos'!$C$29,"A",IF(AB52&gt;='Critérios e pesos'!$C$30,"B","C"))))</f>
        <v/>
      </c>
      <c r="AD52" s="4" t="n"/>
      <c r="AE52" s="18" t="n"/>
      <c r="AF52" s="6" t="n"/>
      <c r="AH52">
        <f>IF($A52="","",IF(OR(WEEKDAY($A52,2)&gt;5,ROUND(MOD($A52,1)*1440,0)&gt;=ROUND('Critérios e pesos'!$C$37*1440,0)),WORKDAY(INT($A52),1)+ROUND('Critérios e pesos'!$C$36*1440,0)/1440,IF(ROUND(MOD($A52,1)*1440,0)&lt;ROUND('Critérios e pesos'!$C$36*1440,0),INT($A52)+ROUND('Critérios e pesos'!$C$36*1440,0)/1440,$A52)))</f>
        <v/>
      </c>
      <c r="AI52">
        <f>IF(AH52="","",ROUND(MOD(AH52,1)*1440,0))</f>
        <v/>
      </c>
      <c r="AJ52">
        <f>IF(T52="","",INDEX('Critérios e pesos'!$E$29:$E$32,MATCH(T52,'Critérios e pesos'!$A$29:$A$32,0)))</f>
        <v/>
      </c>
    </row>
    <row r="53">
      <c r="A53" s="13" t="n"/>
      <c r="B53" s="6" t="n"/>
      <c r="C53" s="6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6" t="n"/>
      <c r="O53" s="6" t="n"/>
      <c r="P53" s="14">
        <f>IF($B53="","",(E53="Claro")*'Critérios e pesos'!$G$5+(E53="Em parte")*'Critérios e pesos'!$G$5/2+(F53="Claro")*'Critérios e pesos'!$G$6+(F53="Em parte")*'Critérios e pesos'!$G$6/2+(G53="Claro")*'Critérios e pesos'!$G$7+(G53="Em parte")*'Critérios e pesos'!$G$7/2+(H53="Claro")*'Critérios e pesos'!$G$8+(H53="Em parte")*'Critérios e pesos'!$G$8/2)</f>
        <v/>
      </c>
      <c r="Q53" s="14">
        <f>IF($B53="","",(I53="Claro")*'Critérios e pesos'!$G$9+(I53="Em parte")*'Critérios e pesos'!$G$9/2+(J53="Claro")*'Critérios e pesos'!$G$10+(J53="Em parte")*'Critérios e pesos'!$G$10/2+(K53="Claro")*'Critérios e pesos'!$G$11+(K53="Em parte")*'Critérios e pesos'!$G$11/2+(L53="Claro")*'Critérios e pesos'!$G$12+(L53="Em parte")*'Critérios e pesos'!$G$12/2+(M53="Claro")*'Critérios e pesos'!$G$13+(M53="Em parte")*'Critérios e pesos'!$G$13/2)</f>
        <v/>
      </c>
      <c r="R53" s="14">
        <f>IF($B53="","",IFERROR(VLOOKUP(N53,'Critérios e pesos'!$B$17:$C$20,2,FALSE),0))</f>
        <v/>
      </c>
      <c r="S53" s="9">
        <f>IF($B53="","",MAX(0,P53+Q53+R53))</f>
        <v/>
      </c>
      <c r="T53" s="9">
        <f>IF($B53="","",IF(O53&lt;&gt;"","X",IF(S53&gt;='Critérios e pesos'!$C$29,"A",IF(S53&gt;='Critérios e pesos'!$C$30,"B","C"))))</f>
        <v/>
      </c>
      <c r="U53" s="14">
        <f>IF(T53="","",INDEX('Critérios e pesos'!$D$29:$D$32,MATCH(T53,'Critérios e pesos'!$A$29:$A$32,0)))</f>
        <v/>
      </c>
      <c r="V53" s="14">
        <f>IF(T53="","",INDEX('Critérios e pesos'!$F$29:$F$32,MATCH(T53,'Critérios e pesos'!$A$29:$A$32,0)))</f>
        <v/>
      </c>
      <c r="W53" s="15">
        <f>IF(OR(AH53="",AJ53=""),"",IF(AI53+AJ53*60&lt;=ROUND('Critérios e pesos'!$C$37*1440,0),INT(AH53)+(AI53+AJ53*60)/1440,WORKDAY(INT(AH53),1+INT((AI53+AJ53*60-ROUND('Critérios e pesos'!$C$37*1440,0)-1)/(ROUND('Critérios e pesos'!$C$37*1440,0)-ROUND('Critérios e pesos'!$C$36*1440,0))))+(ROUND('Critérios e pesos'!$C$36*1440,0)+AI53+AJ53*60-ROUND('Critérios e pesos'!$C$37*1440,0)-INT((AI53+AJ53*60-ROUND('Critérios e pesos'!$C$37*1440,0)-1)/(ROUND('Critérios e pesos'!$C$37*1440,0)-ROUND('Critérios e pesos'!$C$36*1440,0)))*(ROUND('Critérios e pesos'!$C$37*1440,0)-ROUND('Critérios e pesos'!$C$36*1440,0)))/1440))</f>
        <v/>
      </c>
      <c r="X53" s="16" t="n"/>
      <c r="Y53" s="14">
        <f>IF(W53="","",IF(X53="",IF(NOW()&gt;W53,"Atrasado","Em espera"),IF(X53&lt;=W53,"No prazo","Atrasado")))</f>
        <v/>
      </c>
      <c r="Z53" s="17" t="n"/>
      <c r="AA53" s="14">
        <f>IF($B53="","",IF(OR(T53="X",AD53&lt;&gt;""),0,MAX(0,MIN(Q53,'Critérios e pesos'!$C$38*INT((TODAY()-IF(Z53&lt;&gt;"",Z53,INT($A53)))/7)))))</f>
        <v/>
      </c>
      <c r="AB53" s="14">
        <f>IF($B53="","",MAX(0,S53-AA53))</f>
        <v/>
      </c>
      <c r="AC53" s="9">
        <f>IF($B53="","",IF(T53="X","X",IF(AB53&gt;='Critérios e pesos'!$C$29,"A",IF(AB53&gt;='Critérios e pesos'!$C$30,"B","C"))))</f>
        <v/>
      </c>
      <c r="AD53" s="4" t="n"/>
      <c r="AE53" s="18" t="n"/>
      <c r="AF53" s="6" t="n"/>
      <c r="AH53">
        <f>IF($A53="","",IF(OR(WEEKDAY($A53,2)&gt;5,ROUND(MOD($A53,1)*1440,0)&gt;=ROUND('Critérios e pesos'!$C$37*1440,0)),WORKDAY(INT($A53),1)+ROUND('Critérios e pesos'!$C$36*1440,0)/1440,IF(ROUND(MOD($A53,1)*1440,0)&lt;ROUND('Critérios e pesos'!$C$36*1440,0),INT($A53)+ROUND('Critérios e pesos'!$C$36*1440,0)/1440,$A53)))</f>
        <v/>
      </c>
      <c r="AI53">
        <f>IF(AH53="","",ROUND(MOD(AH53,1)*1440,0))</f>
        <v/>
      </c>
      <c r="AJ53">
        <f>IF(T53="","",INDEX('Critérios e pesos'!$E$29:$E$32,MATCH(T53,'Critérios e pesos'!$A$29:$A$32,0)))</f>
        <v/>
      </c>
    </row>
    <row r="54">
      <c r="A54" s="13" t="n"/>
      <c r="B54" s="6" t="n"/>
      <c r="C54" s="6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6" t="n"/>
      <c r="O54" s="6" t="n"/>
      <c r="P54" s="14">
        <f>IF($B54="","",(E54="Claro")*'Critérios e pesos'!$G$5+(E54="Em parte")*'Critérios e pesos'!$G$5/2+(F54="Claro")*'Critérios e pesos'!$G$6+(F54="Em parte")*'Critérios e pesos'!$G$6/2+(G54="Claro")*'Critérios e pesos'!$G$7+(G54="Em parte")*'Critérios e pesos'!$G$7/2+(H54="Claro")*'Critérios e pesos'!$G$8+(H54="Em parte")*'Critérios e pesos'!$G$8/2)</f>
        <v/>
      </c>
      <c r="Q54" s="14">
        <f>IF($B54="","",(I54="Claro")*'Critérios e pesos'!$G$9+(I54="Em parte")*'Critérios e pesos'!$G$9/2+(J54="Claro")*'Critérios e pesos'!$G$10+(J54="Em parte")*'Critérios e pesos'!$G$10/2+(K54="Claro")*'Critérios e pesos'!$G$11+(K54="Em parte")*'Critérios e pesos'!$G$11/2+(L54="Claro")*'Critérios e pesos'!$G$12+(L54="Em parte")*'Critérios e pesos'!$G$12/2+(M54="Claro")*'Critérios e pesos'!$G$13+(M54="Em parte")*'Critérios e pesos'!$G$13/2)</f>
        <v/>
      </c>
      <c r="R54" s="14">
        <f>IF($B54="","",IFERROR(VLOOKUP(N54,'Critérios e pesos'!$B$17:$C$20,2,FALSE),0))</f>
        <v/>
      </c>
      <c r="S54" s="9">
        <f>IF($B54="","",MAX(0,P54+Q54+R54))</f>
        <v/>
      </c>
      <c r="T54" s="9">
        <f>IF($B54="","",IF(O54&lt;&gt;"","X",IF(S54&gt;='Critérios e pesos'!$C$29,"A",IF(S54&gt;='Critérios e pesos'!$C$30,"B","C"))))</f>
        <v/>
      </c>
      <c r="U54" s="14">
        <f>IF(T54="","",INDEX('Critérios e pesos'!$D$29:$D$32,MATCH(T54,'Critérios e pesos'!$A$29:$A$32,0)))</f>
        <v/>
      </c>
      <c r="V54" s="14">
        <f>IF(T54="","",INDEX('Critérios e pesos'!$F$29:$F$32,MATCH(T54,'Critérios e pesos'!$A$29:$A$32,0)))</f>
        <v/>
      </c>
      <c r="W54" s="15">
        <f>IF(OR(AH54="",AJ54=""),"",IF(AI54+AJ54*60&lt;=ROUND('Critérios e pesos'!$C$37*1440,0),INT(AH54)+(AI54+AJ54*60)/1440,WORKDAY(INT(AH54),1+INT((AI54+AJ54*60-ROUND('Critérios e pesos'!$C$37*1440,0)-1)/(ROUND('Critérios e pesos'!$C$37*1440,0)-ROUND('Critérios e pesos'!$C$36*1440,0))))+(ROUND('Critérios e pesos'!$C$36*1440,0)+AI54+AJ54*60-ROUND('Critérios e pesos'!$C$37*1440,0)-INT((AI54+AJ54*60-ROUND('Critérios e pesos'!$C$37*1440,0)-1)/(ROUND('Critérios e pesos'!$C$37*1440,0)-ROUND('Critérios e pesos'!$C$36*1440,0)))*(ROUND('Critérios e pesos'!$C$37*1440,0)-ROUND('Critérios e pesos'!$C$36*1440,0)))/1440))</f>
        <v/>
      </c>
      <c r="X54" s="16" t="n"/>
      <c r="Y54" s="14">
        <f>IF(W54="","",IF(X54="",IF(NOW()&gt;W54,"Atrasado","Em espera"),IF(X54&lt;=W54,"No prazo","Atrasado")))</f>
        <v/>
      </c>
      <c r="Z54" s="17" t="n"/>
      <c r="AA54" s="14">
        <f>IF($B54="","",IF(OR(T54="X",AD54&lt;&gt;""),0,MAX(0,MIN(Q54,'Critérios e pesos'!$C$38*INT((TODAY()-IF(Z54&lt;&gt;"",Z54,INT($A54)))/7)))))</f>
        <v/>
      </c>
      <c r="AB54" s="14">
        <f>IF($B54="","",MAX(0,S54-AA54))</f>
        <v/>
      </c>
      <c r="AC54" s="9">
        <f>IF($B54="","",IF(T54="X","X",IF(AB54&gt;='Critérios e pesos'!$C$29,"A",IF(AB54&gt;='Critérios e pesos'!$C$30,"B","C"))))</f>
        <v/>
      </c>
      <c r="AD54" s="4" t="n"/>
      <c r="AE54" s="18" t="n"/>
      <c r="AF54" s="6" t="n"/>
      <c r="AH54">
        <f>IF($A54="","",IF(OR(WEEKDAY($A54,2)&gt;5,ROUND(MOD($A54,1)*1440,0)&gt;=ROUND('Critérios e pesos'!$C$37*1440,0)),WORKDAY(INT($A54),1)+ROUND('Critérios e pesos'!$C$36*1440,0)/1440,IF(ROUND(MOD($A54,1)*1440,0)&lt;ROUND('Critérios e pesos'!$C$36*1440,0),INT($A54)+ROUND('Critérios e pesos'!$C$36*1440,0)/1440,$A54)))</f>
        <v/>
      </c>
      <c r="AI54">
        <f>IF(AH54="","",ROUND(MOD(AH54,1)*1440,0))</f>
        <v/>
      </c>
      <c r="AJ54">
        <f>IF(T54="","",INDEX('Critérios e pesos'!$E$29:$E$32,MATCH(T54,'Critérios e pesos'!$A$29:$A$32,0)))</f>
        <v/>
      </c>
    </row>
    <row r="55">
      <c r="A55" s="13" t="n"/>
      <c r="B55" s="6" t="n"/>
      <c r="C55" s="6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6" t="n"/>
      <c r="O55" s="6" t="n"/>
      <c r="P55" s="14">
        <f>IF($B55="","",(E55="Claro")*'Critérios e pesos'!$G$5+(E55="Em parte")*'Critérios e pesos'!$G$5/2+(F55="Claro")*'Critérios e pesos'!$G$6+(F55="Em parte")*'Critérios e pesos'!$G$6/2+(G55="Claro")*'Critérios e pesos'!$G$7+(G55="Em parte")*'Critérios e pesos'!$G$7/2+(H55="Claro")*'Critérios e pesos'!$G$8+(H55="Em parte")*'Critérios e pesos'!$G$8/2)</f>
        <v/>
      </c>
      <c r="Q55" s="14">
        <f>IF($B55="","",(I55="Claro")*'Critérios e pesos'!$G$9+(I55="Em parte")*'Critérios e pesos'!$G$9/2+(J55="Claro")*'Critérios e pesos'!$G$10+(J55="Em parte")*'Critérios e pesos'!$G$10/2+(K55="Claro")*'Critérios e pesos'!$G$11+(K55="Em parte")*'Critérios e pesos'!$G$11/2+(L55="Claro")*'Critérios e pesos'!$G$12+(L55="Em parte")*'Critérios e pesos'!$G$12/2+(M55="Claro")*'Critérios e pesos'!$G$13+(M55="Em parte")*'Critérios e pesos'!$G$13/2)</f>
        <v/>
      </c>
      <c r="R55" s="14">
        <f>IF($B55="","",IFERROR(VLOOKUP(N55,'Critérios e pesos'!$B$17:$C$20,2,FALSE),0))</f>
        <v/>
      </c>
      <c r="S55" s="9">
        <f>IF($B55="","",MAX(0,P55+Q55+R55))</f>
        <v/>
      </c>
      <c r="T55" s="9">
        <f>IF($B55="","",IF(O55&lt;&gt;"","X",IF(S55&gt;='Critérios e pesos'!$C$29,"A",IF(S55&gt;='Critérios e pesos'!$C$30,"B","C"))))</f>
        <v/>
      </c>
      <c r="U55" s="14">
        <f>IF(T55="","",INDEX('Critérios e pesos'!$D$29:$D$32,MATCH(T55,'Critérios e pesos'!$A$29:$A$32,0)))</f>
        <v/>
      </c>
      <c r="V55" s="14">
        <f>IF(T55="","",INDEX('Critérios e pesos'!$F$29:$F$32,MATCH(T55,'Critérios e pesos'!$A$29:$A$32,0)))</f>
        <v/>
      </c>
      <c r="W55" s="15">
        <f>IF(OR(AH55="",AJ55=""),"",IF(AI55+AJ55*60&lt;=ROUND('Critérios e pesos'!$C$37*1440,0),INT(AH55)+(AI55+AJ55*60)/1440,WORKDAY(INT(AH55),1+INT((AI55+AJ55*60-ROUND('Critérios e pesos'!$C$37*1440,0)-1)/(ROUND('Critérios e pesos'!$C$37*1440,0)-ROUND('Critérios e pesos'!$C$36*1440,0))))+(ROUND('Critérios e pesos'!$C$36*1440,0)+AI55+AJ55*60-ROUND('Critérios e pesos'!$C$37*1440,0)-INT((AI55+AJ55*60-ROUND('Critérios e pesos'!$C$37*1440,0)-1)/(ROUND('Critérios e pesos'!$C$37*1440,0)-ROUND('Critérios e pesos'!$C$36*1440,0)))*(ROUND('Critérios e pesos'!$C$37*1440,0)-ROUND('Critérios e pesos'!$C$36*1440,0)))/1440))</f>
        <v/>
      </c>
      <c r="X55" s="16" t="n"/>
      <c r="Y55" s="14">
        <f>IF(W55="","",IF(X55="",IF(NOW()&gt;W55,"Atrasado","Em espera"),IF(X55&lt;=W55,"No prazo","Atrasado")))</f>
        <v/>
      </c>
      <c r="Z55" s="17" t="n"/>
      <c r="AA55" s="14">
        <f>IF($B55="","",IF(OR(T55="X",AD55&lt;&gt;""),0,MAX(0,MIN(Q55,'Critérios e pesos'!$C$38*INT((TODAY()-IF(Z55&lt;&gt;"",Z55,INT($A55)))/7)))))</f>
        <v/>
      </c>
      <c r="AB55" s="14">
        <f>IF($B55="","",MAX(0,S55-AA55))</f>
        <v/>
      </c>
      <c r="AC55" s="9">
        <f>IF($B55="","",IF(T55="X","X",IF(AB55&gt;='Critérios e pesos'!$C$29,"A",IF(AB55&gt;='Critérios e pesos'!$C$30,"B","C"))))</f>
        <v/>
      </c>
      <c r="AD55" s="4" t="n"/>
      <c r="AE55" s="18" t="n"/>
      <c r="AF55" s="6" t="n"/>
      <c r="AH55">
        <f>IF($A55="","",IF(OR(WEEKDAY($A55,2)&gt;5,ROUND(MOD($A55,1)*1440,0)&gt;=ROUND('Critérios e pesos'!$C$37*1440,0)),WORKDAY(INT($A55),1)+ROUND('Critérios e pesos'!$C$36*1440,0)/1440,IF(ROUND(MOD($A55,1)*1440,0)&lt;ROUND('Critérios e pesos'!$C$36*1440,0),INT($A55)+ROUND('Critérios e pesos'!$C$36*1440,0)/1440,$A55)))</f>
        <v/>
      </c>
      <c r="AI55">
        <f>IF(AH55="","",ROUND(MOD(AH55,1)*1440,0))</f>
        <v/>
      </c>
      <c r="AJ55">
        <f>IF(T55="","",INDEX('Critérios e pesos'!$E$29:$E$32,MATCH(T55,'Critérios e pesos'!$A$29:$A$32,0)))</f>
        <v/>
      </c>
    </row>
    <row r="56">
      <c r="A56" s="13" t="n"/>
      <c r="B56" s="6" t="n"/>
      <c r="C56" s="6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6" t="n"/>
      <c r="O56" s="6" t="n"/>
      <c r="P56" s="14">
        <f>IF($B56="","",(E56="Claro")*'Critérios e pesos'!$G$5+(E56="Em parte")*'Critérios e pesos'!$G$5/2+(F56="Claro")*'Critérios e pesos'!$G$6+(F56="Em parte")*'Critérios e pesos'!$G$6/2+(G56="Claro")*'Critérios e pesos'!$G$7+(G56="Em parte")*'Critérios e pesos'!$G$7/2+(H56="Claro")*'Critérios e pesos'!$G$8+(H56="Em parte")*'Critérios e pesos'!$G$8/2)</f>
        <v/>
      </c>
      <c r="Q56" s="14">
        <f>IF($B56="","",(I56="Claro")*'Critérios e pesos'!$G$9+(I56="Em parte")*'Critérios e pesos'!$G$9/2+(J56="Claro")*'Critérios e pesos'!$G$10+(J56="Em parte")*'Critérios e pesos'!$G$10/2+(K56="Claro")*'Critérios e pesos'!$G$11+(K56="Em parte")*'Critérios e pesos'!$G$11/2+(L56="Claro")*'Critérios e pesos'!$G$12+(L56="Em parte")*'Critérios e pesos'!$G$12/2+(M56="Claro")*'Critérios e pesos'!$G$13+(M56="Em parte")*'Critérios e pesos'!$G$13/2)</f>
        <v/>
      </c>
      <c r="R56" s="14">
        <f>IF($B56="","",IFERROR(VLOOKUP(N56,'Critérios e pesos'!$B$17:$C$20,2,FALSE),0))</f>
        <v/>
      </c>
      <c r="S56" s="9">
        <f>IF($B56="","",MAX(0,P56+Q56+R56))</f>
        <v/>
      </c>
      <c r="T56" s="9">
        <f>IF($B56="","",IF(O56&lt;&gt;"","X",IF(S56&gt;='Critérios e pesos'!$C$29,"A",IF(S56&gt;='Critérios e pesos'!$C$30,"B","C"))))</f>
        <v/>
      </c>
      <c r="U56" s="14">
        <f>IF(T56="","",INDEX('Critérios e pesos'!$D$29:$D$32,MATCH(T56,'Critérios e pesos'!$A$29:$A$32,0)))</f>
        <v/>
      </c>
      <c r="V56" s="14">
        <f>IF(T56="","",INDEX('Critérios e pesos'!$F$29:$F$32,MATCH(T56,'Critérios e pesos'!$A$29:$A$32,0)))</f>
        <v/>
      </c>
      <c r="W56" s="15">
        <f>IF(OR(AH56="",AJ56=""),"",IF(AI56+AJ56*60&lt;=ROUND('Critérios e pesos'!$C$37*1440,0),INT(AH56)+(AI56+AJ56*60)/1440,WORKDAY(INT(AH56),1+INT((AI56+AJ56*60-ROUND('Critérios e pesos'!$C$37*1440,0)-1)/(ROUND('Critérios e pesos'!$C$37*1440,0)-ROUND('Critérios e pesos'!$C$36*1440,0))))+(ROUND('Critérios e pesos'!$C$36*1440,0)+AI56+AJ56*60-ROUND('Critérios e pesos'!$C$37*1440,0)-INT((AI56+AJ56*60-ROUND('Critérios e pesos'!$C$37*1440,0)-1)/(ROUND('Critérios e pesos'!$C$37*1440,0)-ROUND('Critérios e pesos'!$C$36*1440,0)))*(ROUND('Critérios e pesos'!$C$37*1440,0)-ROUND('Critérios e pesos'!$C$36*1440,0)))/1440))</f>
        <v/>
      </c>
      <c r="X56" s="16" t="n"/>
      <c r="Y56" s="14">
        <f>IF(W56="","",IF(X56="",IF(NOW()&gt;W56,"Atrasado","Em espera"),IF(X56&lt;=W56,"No prazo","Atrasado")))</f>
        <v/>
      </c>
      <c r="Z56" s="17" t="n"/>
      <c r="AA56" s="14">
        <f>IF($B56="","",IF(OR(T56="X",AD56&lt;&gt;""),0,MAX(0,MIN(Q56,'Critérios e pesos'!$C$38*INT((TODAY()-IF(Z56&lt;&gt;"",Z56,INT($A56)))/7)))))</f>
        <v/>
      </c>
      <c r="AB56" s="14">
        <f>IF($B56="","",MAX(0,S56-AA56))</f>
        <v/>
      </c>
      <c r="AC56" s="9">
        <f>IF($B56="","",IF(T56="X","X",IF(AB56&gt;='Critérios e pesos'!$C$29,"A",IF(AB56&gt;='Critérios e pesos'!$C$30,"B","C"))))</f>
        <v/>
      </c>
      <c r="AD56" s="4" t="n"/>
      <c r="AE56" s="18" t="n"/>
      <c r="AF56" s="6" t="n"/>
      <c r="AH56">
        <f>IF($A56="","",IF(OR(WEEKDAY($A56,2)&gt;5,ROUND(MOD($A56,1)*1440,0)&gt;=ROUND('Critérios e pesos'!$C$37*1440,0)),WORKDAY(INT($A56),1)+ROUND('Critérios e pesos'!$C$36*1440,0)/1440,IF(ROUND(MOD($A56,1)*1440,0)&lt;ROUND('Critérios e pesos'!$C$36*1440,0),INT($A56)+ROUND('Critérios e pesos'!$C$36*1440,0)/1440,$A56)))</f>
        <v/>
      </c>
      <c r="AI56">
        <f>IF(AH56="","",ROUND(MOD(AH56,1)*1440,0))</f>
        <v/>
      </c>
      <c r="AJ56">
        <f>IF(T56="","",INDEX('Critérios e pesos'!$E$29:$E$32,MATCH(T56,'Critérios e pesos'!$A$29:$A$32,0)))</f>
        <v/>
      </c>
    </row>
    <row r="57">
      <c r="A57" s="13" t="n"/>
      <c r="B57" s="6" t="n"/>
      <c r="C57" s="6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6" t="n"/>
      <c r="O57" s="6" t="n"/>
      <c r="P57" s="14">
        <f>IF($B57="","",(E57="Claro")*'Critérios e pesos'!$G$5+(E57="Em parte")*'Critérios e pesos'!$G$5/2+(F57="Claro")*'Critérios e pesos'!$G$6+(F57="Em parte")*'Critérios e pesos'!$G$6/2+(G57="Claro")*'Critérios e pesos'!$G$7+(G57="Em parte")*'Critérios e pesos'!$G$7/2+(H57="Claro")*'Critérios e pesos'!$G$8+(H57="Em parte")*'Critérios e pesos'!$G$8/2)</f>
        <v/>
      </c>
      <c r="Q57" s="14">
        <f>IF($B57="","",(I57="Claro")*'Critérios e pesos'!$G$9+(I57="Em parte")*'Critérios e pesos'!$G$9/2+(J57="Claro")*'Critérios e pesos'!$G$10+(J57="Em parte")*'Critérios e pesos'!$G$10/2+(K57="Claro")*'Critérios e pesos'!$G$11+(K57="Em parte")*'Critérios e pesos'!$G$11/2+(L57="Claro")*'Critérios e pesos'!$G$12+(L57="Em parte")*'Critérios e pesos'!$G$12/2+(M57="Claro")*'Critérios e pesos'!$G$13+(M57="Em parte")*'Critérios e pesos'!$G$13/2)</f>
        <v/>
      </c>
      <c r="R57" s="14">
        <f>IF($B57="","",IFERROR(VLOOKUP(N57,'Critérios e pesos'!$B$17:$C$20,2,FALSE),0))</f>
        <v/>
      </c>
      <c r="S57" s="9">
        <f>IF($B57="","",MAX(0,P57+Q57+R57))</f>
        <v/>
      </c>
      <c r="T57" s="9">
        <f>IF($B57="","",IF(O57&lt;&gt;"","X",IF(S57&gt;='Critérios e pesos'!$C$29,"A",IF(S57&gt;='Critérios e pesos'!$C$30,"B","C"))))</f>
        <v/>
      </c>
      <c r="U57" s="14">
        <f>IF(T57="","",INDEX('Critérios e pesos'!$D$29:$D$32,MATCH(T57,'Critérios e pesos'!$A$29:$A$32,0)))</f>
        <v/>
      </c>
      <c r="V57" s="14">
        <f>IF(T57="","",INDEX('Critérios e pesos'!$F$29:$F$32,MATCH(T57,'Critérios e pesos'!$A$29:$A$32,0)))</f>
        <v/>
      </c>
      <c r="W57" s="15">
        <f>IF(OR(AH57="",AJ57=""),"",IF(AI57+AJ57*60&lt;=ROUND('Critérios e pesos'!$C$37*1440,0),INT(AH57)+(AI57+AJ57*60)/1440,WORKDAY(INT(AH57),1+INT((AI57+AJ57*60-ROUND('Critérios e pesos'!$C$37*1440,0)-1)/(ROUND('Critérios e pesos'!$C$37*1440,0)-ROUND('Critérios e pesos'!$C$36*1440,0))))+(ROUND('Critérios e pesos'!$C$36*1440,0)+AI57+AJ57*60-ROUND('Critérios e pesos'!$C$37*1440,0)-INT((AI57+AJ57*60-ROUND('Critérios e pesos'!$C$37*1440,0)-1)/(ROUND('Critérios e pesos'!$C$37*1440,0)-ROUND('Critérios e pesos'!$C$36*1440,0)))*(ROUND('Critérios e pesos'!$C$37*1440,0)-ROUND('Critérios e pesos'!$C$36*1440,0)))/1440))</f>
        <v/>
      </c>
      <c r="X57" s="16" t="n"/>
      <c r="Y57" s="14">
        <f>IF(W57="","",IF(X57="",IF(NOW()&gt;W57,"Atrasado","Em espera"),IF(X57&lt;=W57,"No prazo","Atrasado")))</f>
        <v/>
      </c>
      <c r="Z57" s="17" t="n"/>
      <c r="AA57" s="14">
        <f>IF($B57="","",IF(OR(T57="X",AD57&lt;&gt;""),0,MAX(0,MIN(Q57,'Critérios e pesos'!$C$38*INT((TODAY()-IF(Z57&lt;&gt;"",Z57,INT($A57)))/7)))))</f>
        <v/>
      </c>
      <c r="AB57" s="14">
        <f>IF($B57="","",MAX(0,S57-AA57))</f>
        <v/>
      </c>
      <c r="AC57" s="9">
        <f>IF($B57="","",IF(T57="X","X",IF(AB57&gt;='Critérios e pesos'!$C$29,"A",IF(AB57&gt;='Critérios e pesos'!$C$30,"B","C"))))</f>
        <v/>
      </c>
      <c r="AD57" s="4" t="n"/>
      <c r="AE57" s="18" t="n"/>
      <c r="AF57" s="6" t="n"/>
      <c r="AH57">
        <f>IF($A57="","",IF(OR(WEEKDAY($A57,2)&gt;5,ROUND(MOD($A57,1)*1440,0)&gt;=ROUND('Critérios e pesos'!$C$37*1440,0)),WORKDAY(INT($A57),1)+ROUND('Critérios e pesos'!$C$36*1440,0)/1440,IF(ROUND(MOD($A57,1)*1440,0)&lt;ROUND('Critérios e pesos'!$C$36*1440,0),INT($A57)+ROUND('Critérios e pesos'!$C$36*1440,0)/1440,$A57)))</f>
        <v/>
      </c>
      <c r="AI57">
        <f>IF(AH57="","",ROUND(MOD(AH57,1)*1440,0))</f>
        <v/>
      </c>
      <c r="AJ57">
        <f>IF(T57="","",INDEX('Critérios e pesos'!$E$29:$E$32,MATCH(T57,'Critérios e pesos'!$A$29:$A$32,0)))</f>
        <v/>
      </c>
    </row>
    <row r="58">
      <c r="A58" s="13" t="n"/>
      <c r="B58" s="6" t="n"/>
      <c r="C58" s="6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6" t="n"/>
      <c r="O58" s="6" t="n"/>
      <c r="P58" s="14">
        <f>IF($B58="","",(E58="Claro")*'Critérios e pesos'!$G$5+(E58="Em parte")*'Critérios e pesos'!$G$5/2+(F58="Claro")*'Critérios e pesos'!$G$6+(F58="Em parte")*'Critérios e pesos'!$G$6/2+(G58="Claro")*'Critérios e pesos'!$G$7+(G58="Em parte")*'Critérios e pesos'!$G$7/2+(H58="Claro")*'Critérios e pesos'!$G$8+(H58="Em parte")*'Critérios e pesos'!$G$8/2)</f>
        <v/>
      </c>
      <c r="Q58" s="14">
        <f>IF($B58="","",(I58="Claro")*'Critérios e pesos'!$G$9+(I58="Em parte")*'Critérios e pesos'!$G$9/2+(J58="Claro")*'Critérios e pesos'!$G$10+(J58="Em parte")*'Critérios e pesos'!$G$10/2+(K58="Claro")*'Critérios e pesos'!$G$11+(K58="Em parte")*'Critérios e pesos'!$G$11/2+(L58="Claro")*'Critérios e pesos'!$G$12+(L58="Em parte")*'Critérios e pesos'!$G$12/2+(M58="Claro")*'Critérios e pesos'!$G$13+(M58="Em parte")*'Critérios e pesos'!$G$13/2)</f>
        <v/>
      </c>
      <c r="R58" s="14">
        <f>IF($B58="","",IFERROR(VLOOKUP(N58,'Critérios e pesos'!$B$17:$C$20,2,FALSE),0))</f>
        <v/>
      </c>
      <c r="S58" s="9">
        <f>IF($B58="","",MAX(0,P58+Q58+R58))</f>
        <v/>
      </c>
      <c r="T58" s="9">
        <f>IF($B58="","",IF(O58&lt;&gt;"","X",IF(S58&gt;='Critérios e pesos'!$C$29,"A",IF(S58&gt;='Critérios e pesos'!$C$30,"B","C"))))</f>
        <v/>
      </c>
      <c r="U58" s="14">
        <f>IF(T58="","",INDEX('Critérios e pesos'!$D$29:$D$32,MATCH(T58,'Critérios e pesos'!$A$29:$A$32,0)))</f>
        <v/>
      </c>
      <c r="V58" s="14">
        <f>IF(T58="","",INDEX('Critérios e pesos'!$F$29:$F$32,MATCH(T58,'Critérios e pesos'!$A$29:$A$32,0)))</f>
        <v/>
      </c>
      <c r="W58" s="15">
        <f>IF(OR(AH58="",AJ58=""),"",IF(AI58+AJ58*60&lt;=ROUND('Critérios e pesos'!$C$37*1440,0),INT(AH58)+(AI58+AJ58*60)/1440,WORKDAY(INT(AH58),1+INT((AI58+AJ58*60-ROUND('Critérios e pesos'!$C$37*1440,0)-1)/(ROUND('Critérios e pesos'!$C$37*1440,0)-ROUND('Critérios e pesos'!$C$36*1440,0))))+(ROUND('Critérios e pesos'!$C$36*1440,0)+AI58+AJ58*60-ROUND('Critérios e pesos'!$C$37*1440,0)-INT((AI58+AJ58*60-ROUND('Critérios e pesos'!$C$37*1440,0)-1)/(ROUND('Critérios e pesos'!$C$37*1440,0)-ROUND('Critérios e pesos'!$C$36*1440,0)))*(ROUND('Critérios e pesos'!$C$37*1440,0)-ROUND('Critérios e pesos'!$C$36*1440,0)))/1440))</f>
        <v/>
      </c>
      <c r="X58" s="16" t="n"/>
      <c r="Y58" s="14">
        <f>IF(W58="","",IF(X58="",IF(NOW()&gt;W58,"Atrasado","Em espera"),IF(X58&lt;=W58,"No prazo","Atrasado")))</f>
        <v/>
      </c>
      <c r="Z58" s="17" t="n"/>
      <c r="AA58" s="14">
        <f>IF($B58="","",IF(OR(T58="X",AD58&lt;&gt;""),0,MAX(0,MIN(Q58,'Critérios e pesos'!$C$38*INT((TODAY()-IF(Z58&lt;&gt;"",Z58,INT($A58)))/7)))))</f>
        <v/>
      </c>
      <c r="AB58" s="14">
        <f>IF($B58="","",MAX(0,S58-AA58))</f>
        <v/>
      </c>
      <c r="AC58" s="9">
        <f>IF($B58="","",IF(T58="X","X",IF(AB58&gt;='Critérios e pesos'!$C$29,"A",IF(AB58&gt;='Critérios e pesos'!$C$30,"B","C"))))</f>
        <v/>
      </c>
      <c r="AD58" s="4" t="n"/>
      <c r="AE58" s="18" t="n"/>
      <c r="AF58" s="6" t="n"/>
      <c r="AH58">
        <f>IF($A58="","",IF(OR(WEEKDAY($A58,2)&gt;5,ROUND(MOD($A58,1)*1440,0)&gt;=ROUND('Critérios e pesos'!$C$37*1440,0)),WORKDAY(INT($A58),1)+ROUND('Critérios e pesos'!$C$36*1440,0)/1440,IF(ROUND(MOD($A58,1)*1440,0)&lt;ROUND('Critérios e pesos'!$C$36*1440,0),INT($A58)+ROUND('Critérios e pesos'!$C$36*1440,0)/1440,$A58)))</f>
        <v/>
      </c>
      <c r="AI58">
        <f>IF(AH58="","",ROUND(MOD(AH58,1)*1440,0))</f>
        <v/>
      </c>
      <c r="AJ58">
        <f>IF(T58="","",INDEX('Critérios e pesos'!$E$29:$E$32,MATCH(T58,'Critérios e pesos'!$A$29:$A$32,0)))</f>
        <v/>
      </c>
    </row>
    <row r="59">
      <c r="A59" s="13" t="n"/>
      <c r="B59" s="6" t="n"/>
      <c r="C59" s="6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6" t="n"/>
      <c r="O59" s="6" t="n"/>
      <c r="P59" s="14">
        <f>IF($B59="","",(E59="Claro")*'Critérios e pesos'!$G$5+(E59="Em parte")*'Critérios e pesos'!$G$5/2+(F59="Claro")*'Critérios e pesos'!$G$6+(F59="Em parte")*'Critérios e pesos'!$G$6/2+(G59="Claro")*'Critérios e pesos'!$G$7+(G59="Em parte")*'Critérios e pesos'!$G$7/2+(H59="Claro")*'Critérios e pesos'!$G$8+(H59="Em parte")*'Critérios e pesos'!$G$8/2)</f>
        <v/>
      </c>
      <c r="Q59" s="14">
        <f>IF($B59="","",(I59="Claro")*'Critérios e pesos'!$G$9+(I59="Em parte")*'Critérios e pesos'!$G$9/2+(J59="Claro")*'Critérios e pesos'!$G$10+(J59="Em parte")*'Critérios e pesos'!$G$10/2+(K59="Claro")*'Critérios e pesos'!$G$11+(K59="Em parte")*'Critérios e pesos'!$G$11/2+(L59="Claro")*'Critérios e pesos'!$G$12+(L59="Em parte")*'Critérios e pesos'!$G$12/2+(M59="Claro")*'Critérios e pesos'!$G$13+(M59="Em parte")*'Critérios e pesos'!$G$13/2)</f>
        <v/>
      </c>
      <c r="R59" s="14">
        <f>IF($B59="","",IFERROR(VLOOKUP(N59,'Critérios e pesos'!$B$17:$C$20,2,FALSE),0))</f>
        <v/>
      </c>
      <c r="S59" s="9">
        <f>IF($B59="","",MAX(0,P59+Q59+R59))</f>
        <v/>
      </c>
      <c r="T59" s="9">
        <f>IF($B59="","",IF(O59&lt;&gt;"","X",IF(S59&gt;='Critérios e pesos'!$C$29,"A",IF(S59&gt;='Critérios e pesos'!$C$30,"B","C"))))</f>
        <v/>
      </c>
      <c r="U59" s="14">
        <f>IF(T59="","",INDEX('Critérios e pesos'!$D$29:$D$32,MATCH(T59,'Critérios e pesos'!$A$29:$A$32,0)))</f>
        <v/>
      </c>
      <c r="V59" s="14">
        <f>IF(T59="","",INDEX('Critérios e pesos'!$F$29:$F$32,MATCH(T59,'Critérios e pesos'!$A$29:$A$32,0)))</f>
        <v/>
      </c>
      <c r="W59" s="15">
        <f>IF(OR(AH59="",AJ59=""),"",IF(AI59+AJ59*60&lt;=ROUND('Critérios e pesos'!$C$37*1440,0),INT(AH59)+(AI59+AJ59*60)/1440,WORKDAY(INT(AH59),1+INT((AI59+AJ59*60-ROUND('Critérios e pesos'!$C$37*1440,0)-1)/(ROUND('Critérios e pesos'!$C$37*1440,0)-ROUND('Critérios e pesos'!$C$36*1440,0))))+(ROUND('Critérios e pesos'!$C$36*1440,0)+AI59+AJ59*60-ROUND('Critérios e pesos'!$C$37*1440,0)-INT((AI59+AJ59*60-ROUND('Critérios e pesos'!$C$37*1440,0)-1)/(ROUND('Critérios e pesos'!$C$37*1440,0)-ROUND('Critérios e pesos'!$C$36*1440,0)))*(ROUND('Critérios e pesos'!$C$37*1440,0)-ROUND('Critérios e pesos'!$C$36*1440,0)))/1440))</f>
        <v/>
      </c>
      <c r="X59" s="16" t="n"/>
      <c r="Y59" s="14">
        <f>IF(W59="","",IF(X59="",IF(NOW()&gt;W59,"Atrasado","Em espera"),IF(X59&lt;=W59,"No prazo","Atrasado")))</f>
        <v/>
      </c>
      <c r="Z59" s="17" t="n"/>
      <c r="AA59" s="14">
        <f>IF($B59="","",IF(OR(T59="X",AD59&lt;&gt;""),0,MAX(0,MIN(Q59,'Critérios e pesos'!$C$38*INT((TODAY()-IF(Z59&lt;&gt;"",Z59,INT($A59)))/7)))))</f>
        <v/>
      </c>
      <c r="AB59" s="14">
        <f>IF($B59="","",MAX(0,S59-AA59))</f>
        <v/>
      </c>
      <c r="AC59" s="9">
        <f>IF($B59="","",IF(T59="X","X",IF(AB59&gt;='Critérios e pesos'!$C$29,"A",IF(AB59&gt;='Critérios e pesos'!$C$30,"B","C"))))</f>
        <v/>
      </c>
      <c r="AD59" s="4" t="n"/>
      <c r="AE59" s="18" t="n"/>
      <c r="AF59" s="6" t="n"/>
      <c r="AH59">
        <f>IF($A59="","",IF(OR(WEEKDAY($A59,2)&gt;5,ROUND(MOD($A59,1)*1440,0)&gt;=ROUND('Critérios e pesos'!$C$37*1440,0)),WORKDAY(INT($A59),1)+ROUND('Critérios e pesos'!$C$36*1440,0)/1440,IF(ROUND(MOD($A59,1)*1440,0)&lt;ROUND('Critérios e pesos'!$C$36*1440,0),INT($A59)+ROUND('Critérios e pesos'!$C$36*1440,0)/1440,$A59)))</f>
        <v/>
      </c>
      <c r="AI59">
        <f>IF(AH59="","",ROUND(MOD(AH59,1)*1440,0))</f>
        <v/>
      </c>
      <c r="AJ59">
        <f>IF(T59="","",INDEX('Critérios e pesos'!$E$29:$E$32,MATCH(T59,'Critérios e pesos'!$A$29:$A$32,0)))</f>
        <v/>
      </c>
    </row>
    <row r="60">
      <c r="A60" s="13" t="n"/>
      <c r="B60" s="6" t="n"/>
      <c r="C60" s="6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6" t="n"/>
      <c r="O60" s="6" t="n"/>
      <c r="P60" s="14">
        <f>IF($B60="","",(E60="Claro")*'Critérios e pesos'!$G$5+(E60="Em parte")*'Critérios e pesos'!$G$5/2+(F60="Claro")*'Critérios e pesos'!$G$6+(F60="Em parte")*'Critérios e pesos'!$G$6/2+(G60="Claro")*'Critérios e pesos'!$G$7+(G60="Em parte")*'Critérios e pesos'!$G$7/2+(H60="Claro")*'Critérios e pesos'!$G$8+(H60="Em parte")*'Critérios e pesos'!$G$8/2)</f>
        <v/>
      </c>
      <c r="Q60" s="14">
        <f>IF($B60="","",(I60="Claro")*'Critérios e pesos'!$G$9+(I60="Em parte")*'Critérios e pesos'!$G$9/2+(J60="Claro")*'Critérios e pesos'!$G$10+(J60="Em parte")*'Critérios e pesos'!$G$10/2+(K60="Claro")*'Critérios e pesos'!$G$11+(K60="Em parte")*'Critérios e pesos'!$G$11/2+(L60="Claro")*'Critérios e pesos'!$G$12+(L60="Em parte")*'Critérios e pesos'!$G$12/2+(M60="Claro")*'Critérios e pesos'!$G$13+(M60="Em parte")*'Critérios e pesos'!$G$13/2)</f>
        <v/>
      </c>
      <c r="R60" s="14">
        <f>IF($B60="","",IFERROR(VLOOKUP(N60,'Critérios e pesos'!$B$17:$C$20,2,FALSE),0))</f>
        <v/>
      </c>
      <c r="S60" s="9">
        <f>IF($B60="","",MAX(0,P60+Q60+R60))</f>
        <v/>
      </c>
      <c r="T60" s="9">
        <f>IF($B60="","",IF(O60&lt;&gt;"","X",IF(S60&gt;='Critérios e pesos'!$C$29,"A",IF(S60&gt;='Critérios e pesos'!$C$30,"B","C"))))</f>
        <v/>
      </c>
      <c r="U60" s="14">
        <f>IF(T60="","",INDEX('Critérios e pesos'!$D$29:$D$32,MATCH(T60,'Critérios e pesos'!$A$29:$A$32,0)))</f>
        <v/>
      </c>
      <c r="V60" s="14">
        <f>IF(T60="","",INDEX('Critérios e pesos'!$F$29:$F$32,MATCH(T60,'Critérios e pesos'!$A$29:$A$32,0)))</f>
        <v/>
      </c>
      <c r="W60" s="15">
        <f>IF(OR(AH60="",AJ60=""),"",IF(AI60+AJ60*60&lt;=ROUND('Critérios e pesos'!$C$37*1440,0),INT(AH60)+(AI60+AJ60*60)/1440,WORKDAY(INT(AH60),1+INT((AI60+AJ60*60-ROUND('Critérios e pesos'!$C$37*1440,0)-1)/(ROUND('Critérios e pesos'!$C$37*1440,0)-ROUND('Critérios e pesos'!$C$36*1440,0))))+(ROUND('Critérios e pesos'!$C$36*1440,0)+AI60+AJ60*60-ROUND('Critérios e pesos'!$C$37*1440,0)-INT((AI60+AJ60*60-ROUND('Critérios e pesos'!$C$37*1440,0)-1)/(ROUND('Critérios e pesos'!$C$37*1440,0)-ROUND('Critérios e pesos'!$C$36*1440,0)))*(ROUND('Critérios e pesos'!$C$37*1440,0)-ROUND('Critérios e pesos'!$C$36*1440,0)))/1440))</f>
        <v/>
      </c>
      <c r="X60" s="16" t="n"/>
      <c r="Y60" s="14">
        <f>IF(W60="","",IF(X60="",IF(NOW()&gt;W60,"Atrasado","Em espera"),IF(X60&lt;=W60,"No prazo","Atrasado")))</f>
        <v/>
      </c>
      <c r="Z60" s="17" t="n"/>
      <c r="AA60" s="14">
        <f>IF($B60="","",IF(OR(T60="X",AD60&lt;&gt;""),0,MAX(0,MIN(Q60,'Critérios e pesos'!$C$38*INT((TODAY()-IF(Z60&lt;&gt;"",Z60,INT($A60)))/7)))))</f>
        <v/>
      </c>
      <c r="AB60" s="14">
        <f>IF($B60="","",MAX(0,S60-AA60))</f>
        <v/>
      </c>
      <c r="AC60" s="9">
        <f>IF($B60="","",IF(T60="X","X",IF(AB60&gt;='Critérios e pesos'!$C$29,"A",IF(AB60&gt;='Critérios e pesos'!$C$30,"B","C"))))</f>
        <v/>
      </c>
      <c r="AD60" s="4" t="n"/>
      <c r="AE60" s="18" t="n"/>
      <c r="AF60" s="6" t="n"/>
      <c r="AH60">
        <f>IF($A60="","",IF(OR(WEEKDAY($A60,2)&gt;5,ROUND(MOD($A60,1)*1440,0)&gt;=ROUND('Critérios e pesos'!$C$37*1440,0)),WORKDAY(INT($A60),1)+ROUND('Critérios e pesos'!$C$36*1440,0)/1440,IF(ROUND(MOD($A60,1)*1440,0)&lt;ROUND('Critérios e pesos'!$C$36*1440,0),INT($A60)+ROUND('Critérios e pesos'!$C$36*1440,0)/1440,$A60)))</f>
        <v/>
      </c>
      <c r="AI60">
        <f>IF(AH60="","",ROUND(MOD(AH60,1)*1440,0))</f>
        <v/>
      </c>
      <c r="AJ60">
        <f>IF(T60="","",INDEX('Critérios e pesos'!$E$29:$E$32,MATCH(T60,'Critérios e pesos'!$A$29:$A$32,0)))</f>
        <v/>
      </c>
    </row>
    <row r="61">
      <c r="A61" s="13" t="n"/>
      <c r="B61" s="6" t="n"/>
      <c r="C61" s="6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6" t="n"/>
      <c r="O61" s="6" t="n"/>
      <c r="P61" s="14">
        <f>IF($B61="","",(E61="Claro")*'Critérios e pesos'!$G$5+(E61="Em parte")*'Critérios e pesos'!$G$5/2+(F61="Claro")*'Critérios e pesos'!$G$6+(F61="Em parte")*'Critérios e pesos'!$G$6/2+(G61="Claro")*'Critérios e pesos'!$G$7+(G61="Em parte")*'Critérios e pesos'!$G$7/2+(H61="Claro")*'Critérios e pesos'!$G$8+(H61="Em parte")*'Critérios e pesos'!$G$8/2)</f>
        <v/>
      </c>
      <c r="Q61" s="14">
        <f>IF($B61="","",(I61="Claro")*'Critérios e pesos'!$G$9+(I61="Em parte")*'Critérios e pesos'!$G$9/2+(J61="Claro")*'Critérios e pesos'!$G$10+(J61="Em parte")*'Critérios e pesos'!$G$10/2+(K61="Claro")*'Critérios e pesos'!$G$11+(K61="Em parte")*'Critérios e pesos'!$G$11/2+(L61="Claro")*'Critérios e pesos'!$G$12+(L61="Em parte")*'Critérios e pesos'!$G$12/2+(M61="Claro")*'Critérios e pesos'!$G$13+(M61="Em parte")*'Critérios e pesos'!$G$13/2)</f>
        <v/>
      </c>
      <c r="R61" s="14">
        <f>IF($B61="","",IFERROR(VLOOKUP(N61,'Critérios e pesos'!$B$17:$C$20,2,FALSE),0))</f>
        <v/>
      </c>
      <c r="S61" s="9">
        <f>IF($B61="","",MAX(0,P61+Q61+R61))</f>
        <v/>
      </c>
      <c r="T61" s="9">
        <f>IF($B61="","",IF(O61&lt;&gt;"","X",IF(S61&gt;='Critérios e pesos'!$C$29,"A",IF(S61&gt;='Critérios e pesos'!$C$30,"B","C"))))</f>
        <v/>
      </c>
      <c r="U61" s="14">
        <f>IF(T61="","",INDEX('Critérios e pesos'!$D$29:$D$32,MATCH(T61,'Critérios e pesos'!$A$29:$A$32,0)))</f>
        <v/>
      </c>
      <c r="V61" s="14">
        <f>IF(T61="","",INDEX('Critérios e pesos'!$F$29:$F$32,MATCH(T61,'Critérios e pesos'!$A$29:$A$32,0)))</f>
        <v/>
      </c>
      <c r="W61" s="15">
        <f>IF(OR(AH61="",AJ61=""),"",IF(AI61+AJ61*60&lt;=ROUND('Critérios e pesos'!$C$37*1440,0),INT(AH61)+(AI61+AJ61*60)/1440,WORKDAY(INT(AH61),1+INT((AI61+AJ61*60-ROUND('Critérios e pesos'!$C$37*1440,0)-1)/(ROUND('Critérios e pesos'!$C$37*1440,0)-ROUND('Critérios e pesos'!$C$36*1440,0))))+(ROUND('Critérios e pesos'!$C$36*1440,0)+AI61+AJ61*60-ROUND('Critérios e pesos'!$C$37*1440,0)-INT((AI61+AJ61*60-ROUND('Critérios e pesos'!$C$37*1440,0)-1)/(ROUND('Critérios e pesos'!$C$37*1440,0)-ROUND('Critérios e pesos'!$C$36*1440,0)))*(ROUND('Critérios e pesos'!$C$37*1440,0)-ROUND('Critérios e pesos'!$C$36*1440,0)))/1440))</f>
        <v/>
      </c>
      <c r="X61" s="16" t="n"/>
      <c r="Y61" s="14">
        <f>IF(W61="","",IF(X61="",IF(NOW()&gt;W61,"Atrasado","Em espera"),IF(X61&lt;=W61,"No prazo","Atrasado")))</f>
        <v/>
      </c>
      <c r="Z61" s="17" t="n"/>
      <c r="AA61" s="14">
        <f>IF($B61="","",IF(OR(T61="X",AD61&lt;&gt;""),0,MAX(0,MIN(Q61,'Critérios e pesos'!$C$38*INT((TODAY()-IF(Z61&lt;&gt;"",Z61,INT($A61)))/7)))))</f>
        <v/>
      </c>
      <c r="AB61" s="14">
        <f>IF($B61="","",MAX(0,S61-AA61))</f>
        <v/>
      </c>
      <c r="AC61" s="9">
        <f>IF($B61="","",IF(T61="X","X",IF(AB61&gt;='Critérios e pesos'!$C$29,"A",IF(AB61&gt;='Critérios e pesos'!$C$30,"B","C"))))</f>
        <v/>
      </c>
      <c r="AD61" s="4" t="n"/>
      <c r="AE61" s="18" t="n"/>
      <c r="AF61" s="6" t="n"/>
      <c r="AH61">
        <f>IF($A61="","",IF(OR(WEEKDAY($A61,2)&gt;5,ROUND(MOD($A61,1)*1440,0)&gt;=ROUND('Critérios e pesos'!$C$37*1440,0)),WORKDAY(INT($A61),1)+ROUND('Critérios e pesos'!$C$36*1440,0)/1440,IF(ROUND(MOD($A61,1)*1440,0)&lt;ROUND('Critérios e pesos'!$C$36*1440,0),INT($A61)+ROUND('Critérios e pesos'!$C$36*1440,0)/1440,$A61)))</f>
        <v/>
      </c>
      <c r="AI61">
        <f>IF(AH61="","",ROUND(MOD(AH61,1)*1440,0))</f>
        <v/>
      </c>
      <c r="AJ61">
        <f>IF(T61="","",INDEX('Critérios e pesos'!$E$29:$E$32,MATCH(T61,'Critérios e pesos'!$A$29:$A$32,0)))</f>
        <v/>
      </c>
    </row>
    <row r="62">
      <c r="A62" s="13" t="n"/>
      <c r="B62" s="6" t="n"/>
      <c r="C62" s="6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6" t="n"/>
      <c r="O62" s="6" t="n"/>
      <c r="P62" s="14">
        <f>IF($B62="","",(E62="Claro")*'Critérios e pesos'!$G$5+(E62="Em parte")*'Critérios e pesos'!$G$5/2+(F62="Claro")*'Critérios e pesos'!$G$6+(F62="Em parte")*'Critérios e pesos'!$G$6/2+(G62="Claro")*'Critérios e pesos'!$G$7+(G62="Em parte")*'Critérios e pesos'!$G$7/2+(H62="Claro")*'Critérios e pesos'!$G$8+(H62="Em parte")*'Critérios e pesos'!$G$8/2)</f>
        <v/>
      </c>
      <c r="Q62" s="14">
        <f>IF($B62="","",(I62="Claro")*'Critérios e pesos'!$G$9+(I62="Em parte")*'Critérios e pesos'!$G$9/2+(J62="Claro")*'Critérios e pesos'!$G$10+(J62="Em parte")*'Critérios e pesos'!$G$10/2+(K62="Claro")*'Critérios e pesos'!$G$11+(K62="Em parte")*'Critérios e pesos'!$G$11/2+(L62="Claro")*'Critérios e pesos'!$G$12+(L62="Em parte")*'Critérios e pesos'!$G$12/2+(M62="Claro")*'Critérios e pesos'!$G$13+(M62="Em parte")*'Critérios e pesos'!$G$13/2)</f>
        <v/>
      </c>
      <c r="R62" s="14">
        <f>IF($B62="","",IFERROR(VLOOKUP(N62,'Critérios e pesos'!$B$17:$C$20,2,FALSE),0))</f>
        <v/>
      </c>
      <c r="S62" s="9">
        <f>IF($B62="","",MAX(0,P62+Q62+R62))</f>
        <v/>
      </c>
      <c r="T62" s="9">
        <f>IF($B62="","",IF(O62&lt;&gt;"","X",IF(S62&gt;='Critérios e pesos'!$C$29,"A",IF(S62&gt;='Critérios e pesos'!$C$30,"B","C"))))</f>
        <v/>
      </c>
      <c r="U62" s="14">
        <f>IF(T62="","",INDEX('Critérios e pesos'!$D$29:$D$32,MATCH(T62,'Critérios e pesos'!$A$29:$A$32,0)))</f>
        <v/>
      </c>
      <c r="V62" s="14">
        <f>IF(T62="","",INDEX('Critérios e pesos'!$F$29:$F$32,MATCH(T62,'Critérios e pesos'!$A$29:$A$32,0)))</f>
        <v/>
      </c>
      <c r="W62" s="15">
        <f>IF(OR(AH62="",AJ62=""),"",IF(AI62+AJ62*60&lt;=ROUND('Critérios e pesos'!$C$37*1440,0),INT(AH62)+(AI62+AJ62*60)/1440,WORKDAY(INT(AH62),1+INT((AI62+AJ62*60-ROUND('Critérios e pesos'!$C$37*1440,0)-1)/(ROUND('Critérios e pesos'!$C$37*1440,0)-ROUND('Critérios e pesos'!$C$36*1440,0))))+(ROUND('Critérios e pesos'!$C$36*1440,0)+AI62+AJ62*60-ROUND('Critérios e pesos'!$C$37*1440,0)-INT((AI62+AJ62*60-ROUND('Critérios e pesos'!$C$37*1440,0)-1)/(ROUND('Critérios e pesos'!$C$37*1440,0)-ROUND('Critérios e pesos'!$C$36*1440,0)))*(ROUND('Critérios e pesos'!$C$37*1440,0)-ROUND('Critérios e pesos'!$C$36*1440,0)))/1440))</f>
        <v/>
      </c>
      <c r="X62" s="16" t="n"/>
      <c r="Y62" s="14">
        <f>IF(W62="","",IF(X62="",IF(NOW()&gt;W62,"Atrasado","Em espera"),IF(X62&lt;=W62,"No prazo","Atrasado")))</f>
        <v/>
      </c>
      <c r="Z62" s="17" t="n"/>
      <c r="AA62" s="14">
        <f>IF($B62="","",IF(OR(T62="X",AD62&lt;&gt;""),0,MAX(0,MIN(Q62,'Critérios e pesos'!$C$38*INT((TODAY()-IF(Z62&lt;&gt;"",Z62,INT($A62)))/7)))))</f>
        <v/>
      </c>
      <c r="AB62" s="14">
        <f>IF($B62="","",MAX(0,S62-AA62))</f>
        <v/>
      </c>
      <c r="AC62" s="9">
        <f>IF($B62="","",IF(T62="X","X",IF(AB62&gt;='Critérios e pesos'!$C$29,"A",IF(AB62&gt;='Critérios e pesos'!$C$30,"B","C"))))</f>
        <v/>
      </c>
      <c r="AD62" s="4" t="n"/>
      <c r="AE62" s="18" t="n"/>
      <c r="AF62" s="6" t="n"/>
      <c r="AH62">
        <f>IF($A62="","",IF(OR(WEEKDAY($A62,2)&gt;5,ROUND(MOD($A62,1)*1440,0)&gt;=ROUND('Critérios e pesos'!$C$37*1440,0)),WORKDAY(INT($A62),1)+ROUND('Critérios e pesos'!$C$36*1440,0)/1440,IF(ROUND(MOD($A62,1)*1440,0)&lt;ROUND('Critérios e pesos'!$C$36*1440,0),INT($A62)+ROUND('Critérios e pesos'!$C$36*1440,0)/1440,$A62)))</f>
        <v/>
      </c>
      <c r="AI62">
        <f>IF(AH62="","",ROUND(MOD(AH62,1)*1440,0))</f>
        <v/>
      </c>
      <c r="AJ62">
        <f>IF(T62="","",INDEX('Critérios e pesos'!$E$29:$E$32,MATCH(T62,'Critérios e pesos'!$A$29:$A$32,0)))</f>
        <v/>
      </c>
    </row>
    <row r="63">
      <c r="A63" s="13" t="n"/>
      <c r="B63" s="6" t="n"/>
      <c r="C63" s="6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6" t="n"/>
      <c r="O63" s="6" t="n"/>
      <c r="P63" s="14">
        <f>IF($B63="","",(E63="Claro")*'Critérios e pesos'!$G$5+(E63="Em parte")*'Critérios e pesos'!$G$5/2+(F63="Claro")*'Critérios e pesos'!$G$6+(F63="Em parte")*'Critérios e pesos'!$G$6/2+(G63="Claro")*'Critérios e pesos'!$G$7+(G63="Em parte")*'Critérios e pesos'!$G$7/2+(H63="Claro")*'Critérios e pesos'!$G$8+(H63="Em parte")*'Critérios e pesos'!$G$8/2)</f>
        <v/>
      </c>
      <c r="Q63" s="14">
        <f>IF($B63="","",(I63="Claro")*'Critérios e pesos'!$G$9+(I63="Em parte")*'Critérios e pesos'!$G$9/2+(J63="Claro")*'Critérios e pesos'!$G$10+(J63="Em parte")*'Critérios e pesos'!$G$10/2+(K63="Claro")*'Critérios e pesos'!$G$11+(K63="Em parte")*'Critérios e pesos'!$G$11/2+(L63="Claro")*'Critérios e pesos'!$G$12+(L63="Em parte")*'Critérios e pesos'!$G$12/2+(M63="Claro")*'Critérios e pesos'!$G$13+(M63="Em parte")*'Critérios e pesos'!$G$13/2)</f>
        <v/>
      </c>
      <c r="R63" s="14">
        <f>IF($B63="","",IFERROR(VLOOKUP(N63,'Critérios e pesos'!$B$17:$C$20,2,FALSE),0))</f>
        <v/>
      </c>
      <c r="S63" s="9">
        <f>IF($B63="","",MAX(0,P63+Q63+R63))</f>
        <v/>
      </c>
      <c r="T63" s="9">
        <f>IF($B63="","",IF(O63&lt;&gt;"","X",IF(S63&gt;='Critérios e pesos'!$C$29,"A",IF(S63&gt;='Critérios e pesos'!$C$30,"B","C"))))</f>
        <v/>
      </c>
      <c r="U63" s="14">
        <f>IF(T63="","",INDEX('Critérios e pesos'!$D$29:$D$32,MATCH(T63,'Critérios e pesos'!$A$29:$A$32,0)))</f>
        <v/>
      </c>
      <c r="V63" s="14">
        <f>IF(T63="","",INDEX('Critérios e pesos'!$F$29:$F$32,MATCH(T63,'Critérios e pesos'!$A$29:$A$32,0)))</f>
        <v/>
      </c>
      <c r="W63" s="15">
        <f>IF(OR(AH63="",AJ63=""),"",IF(AI63+AJ63*60&lt;=ROUND('Critérios e pesos'!$C$37*1440,0),INT(AH63)+(AI63+AJ63*60)/1440,WORKDAY(INT(AH63),1+INT((AI63+AJ63*60-ROUND('Critérios e pesos'!$C$37*1440,0)-1)/(ROUND('Critérios e pesos'!$C$37*1440,0)-ROUND('Critérios e pesos'!$C$36*1440,0))))+(ROUND('Critérios e pesos'!$C$36*1440,0)+AI63+AJ63*60-ROUND('Critérios e pesos'!$C$37*1440,0)-INT((AI63+AJ63*60-ROUND('Critérios e pesos'!$C$37*1440,0)-1)/(ROUND('Critérios e pesos'!$C$37*1440,0)-ROUND('Critérios e pesos'!$C$36*1440,0)))*(ROUND('Critérios e pesos'!$C$37*1440,0)-ROUND('Critérios e pesos'!$C$36*1440,0)))/1440))</f>
        <v/>
      </c>
      <c r="X63" s="16" t="n"/>
      <c r="Y63" s="14">
        <f>IF(W63="","",IF(X63="",IF(NOW()&gt;W63,"Atrasado","Em espera"),IF(X63&lt;=W63,"No prazo","Atrasado")))</f>
        <v/>
      </c>
      <c r="Z63" s="17" t="n"/>
      <c r="AA63" s="14">
        <f>IF($B63="","",IF(OR(T63="X",AD63&lt;&gt;""),0,MAX(0,MIN(Q63,'Critérios e pesos'!$C$38*INT((TODAY()-IF(Z63&lt;&gt;"",Z63,INT($A63)))/7)))))</f>
        <v/>
      </c>
      <c r="AB63" s="14">
        <f>IF($B63="","",MAX(0,S63-AA63))</f>
        <v/>
      </c>
      <c r="AC63" s="9">
        <f>IF($B63="","",IF(T63="X","X",IF(AB63&gt;='Critérios e pesos'!$C$29,"A",IF(AB63&gt;='Critérios e pesos'!$C$30,"B","C"))))</f>
        <v/>
      </c>
      <c r="AD63" s="4" t="n"/>
      <c r="AE63" s="18" t="n"/>
      <c r="AF63" s="6" t="n"/>
      <c r="AH63">
        <f>IF($A63="","",IF(OR(WEEKDAY($A63,2)&gt;5,ROUND(MOD($A63,1)*1440,0)&gt;=ROUND('Critérios e pesos'!$C$37*1440,0)),WORKDAY(INT($A63),1)+ROUND('Critérios e pesos'!$C$36*1440,0)/1440,IF(ROUND(MOD($A63,1)*1440,0)&lt;ROUND('Critérios e pesos'!$C$36*1440,0),INT($A63)+ROUND('Critérios e pesos'!$C$36*1440,0)/1440,$A63)))</f>
        <v/>
      </c>
      <c r="AI63">
        <f>IF(AH63="","",ROUND(MOD(AH63,1)*1440,0))</f>
        <v/>
      </c>
      <c r="AJ63">
        <f>IF(T63="","",INDEX('Critérios e pesos'!$E$29:$E$32,MATCH(T63,'Critérios e pesos'!$A$29:$A$32,0)))</f>
        <v/>
      </c>
    </row>
    <row r="64">
      <c r="A64" s="13" t="n"/>
      <c r="B64" s="6" t="n"/>
      <c r="C64" s="6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6" t="n"/>
      <c r="O64" s="6" t="n"/>
      <c r="P64" s="14">
        <f>IF($B64="","",(E64="Claro")*'Critérios e pesos'!$G$5+(E64="Em parte")*'Critérios e pesos'!$G$5/2+(F64="Claro")*'Critérios e pesos'!$G$6+(F64="Em parte")*'Critérios e pesos'!$G$6/2+(G64="Claro")*'Critérios e pesos'!$G$7+(G64="Em parte")*'Critérios e pesos'!$G$7/2+(H64="Claro")*'Critérios e pesos'!$G$8+(H64="Em parte")*'Critérios e pesos'!$G$8/2)</f>
        <v/>
      </c>
      <c r="Q64" s="14">
        <f>IF($B64="","",(I64="Claro")*'Critérios e pesos'!$G$9+(I64="Em parte")*'Critérios e pesos'!$G$9/2+(J64="Claro")*'Critérios e pesos'!$G$10+(J64="Em parte")*'Critérios e pesos'!$G$10/2+(K64="Claro")*'Critérios e pesos'!$G$11+(K64="Em parte")*'Critérios e pesos'!$G$11/2+(L64="Claro")*'Critérios e pesos'!$G$12+(L64="Em parte")*'Critérios e pesos'!$G$12/2+(M64="Claro")*'Critérios e pesos'!$G$13+(M64="Em parte")*'Critérios e pesos'!$G$13/2)</f>
        <v/>
      </c>
      <c r="R64" s="14">
        <f>IF($B64="","",IFERROR(VLOOKUP(N64,'Critérios e pesos'!$B$17:$C$20,2,FALSE),0))</f>
        <v/>
      </c>
      <c r="S64" s="9">
        <f>IF($B64="","",MAX(0,P64+Q64+R64))</f>
        <v/>
      </c>
      <c r="T64" s="9">
        <f>IF($B64="","",IF(O64&lt;&gt;"","X",IF(S64&gt;='Critérios e pesos'!$C$29,"A",IF(S64&gt;='Critérios e pesos'!$C$30,"B","C"))))</f>
        <v/>
      </c>
      <c r="U64" s="14">
        <f>IF(T64="","",INDEX('Critérios e pesos'!$D$29:$D$32,MATCH(T64,'Critérios e pesos'!$A$29:$A$32,0)))</f>
        <v/>
      </c>
      <c r="V64" s="14">
        <f>IF(T64="","",INDEX('Critérios e pesos'!$F$29:$F$32,MATCH(T64,'Critérios e pesos'!$A$29:$A$32,0)))</f>
        <v/>
      </c>
      <c r="W64" s="15">
        <f>IF(OR(AH64="",AJ64=""),"",IF(AI64+AJ64*60&lt;=ROUND('Critérios e pesos'!$C$37*1440,0),INT(AH64)+(AI64+AJ64*60)/1440,WORKDAY(INT(AH64),1+INT((AI64+AJ64*60-ROUND('Critérios e pesos'!$C$37*1440,0)-1)/(ROUND('Critérios e pesos'!$C$37*1440,0)-ROUND('Critérios e pesos'!$C$36*1440,0))))+(ROUND('Critérios e pesos'!$C$36*1440,0)+AI64+AJ64*60-ROUND('Critérios e pesos'!$C$37*1440,0)-INT((AI64+AJ64*60-ROUND('Critérios e pesos'!$C$37*1440,0)-1)/(ROUND('Critérios e pesos'!$C$37*1440,0)-ROUND('Critérios e pesos'!$C$36*1440,0)))*(ROUND('Critérios e pesos'!$C$37*1440,0)-ROUND('Critérios e pesos'!$C$36*1440,0)))/1440))</f>
        <v/>
      </c>
      <c r="X64" s="16" t="n"/>
      <c r="Y64" s="14">
        <f>IF(W64="","",IF(X64="",IF(NOW()&gt;W64,"Atrasado","Em espera"),IF(X64&lt;=W64,"No prazo","Atrasado")))</f>
        <v/>
      </c>
      <c r="Z64" s="17" t="n"/>
      <c r="AA64" s="14">
        <f>IF($B64="","",IF(OR(T64="X",AD64&lt;&gt;""),0,MAX(0,MIN(Q64,'Critérios e pesos'!$C$38*INT((TODAY()-IF(Z64&lt;&gt;"",Z64,INT($A64)))/7)))))</f>
        <v/>
      </c>
      <c r="AB64" s="14">
        <f>IF($B64="","",MAX(0,S64-AA64))</f>
        <v/>
      </c>
      <c r="AC64" s="9">
        <f>IF($B64="","",IF(T64="X","X",IF(AB64&gt;='Critérios e pesos'!$C$29,"A",IF(AB64&gt;='Critérios e pesos'!$C$30,"B","C"))))</f>
        <v/>
      </c>
      <c r="AD64" s="4" t="n"/>
      <c r="AE64" s="18" t="n"/>
      <c r="AF64" s="6" t="n"/>
      <c r="AH64">
        <f>IF($A64="","",IF(OR(WEEKDAY($A64,2)&gt;5,ROUND(MOD($A64,1)*1440,0)&gt;=ROUND('Critérios e pesos'!$C$37*1440,0)),WORKDAY(INT($A64),1)+ROUND('Critérios e pesos'!$C$36*1440,0)/1440,IF(ROUND(MOD($A64,1)*1440,0)&lt;ROUND('Critérios e pesos'!$C$36*1440,0),INT($A64)+ROUND('Critérios e pesos'!$C$36*1440,0)/1440,$A64)))</f>
        <v/>
      </c>
      <c r="AI64">
        <f>IF(AH64="","",ROUND(MOD(AH64,1)*1440,0))</f>
        <v/>
      </c>
      <c r="AJ64">
        <f>IF(T64="","",INDEX('Critérios e pesos'!$E$29:$E$32,MATCH(T64,'Critérios e pesos'!$A$29:$A$32,0)))</f>
        <v/>
      </c>
    </row>
    <row r="65">
      <c r="A65" s="13" t="n"/>
      <c r="B65" s="6" t="n"/>
      <c r="C65" s="6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6" t="n"/>
      <c r="O65" s="6" t="n"/>
      <c r="P65" s="14">
        <f>IF($B65="","",(E65="Claro")*'Critérios e pesos'!$G$5+(E65="Em parte")*'Critérios e pesos'!$G$5/2+(F65="Claro")*'Critérios e pesos'!$G$6+(F65="Em parte")*'Critérios e pesos'!$G$6/2+(G65="Claro")*'Critérios e pesos'!$G$7+(G65="Em parte")*'Critérios e pesos'!$G$7/2+(H65="Claro")*'Critérios e pesos'!$G$8+(H65="Em parte")*'Critérios e pesos'!$G$8/2)</f>
        <v/>
      </c>
      <c r="Q65" s="14">
        <f>IF($B65="","",(I65="Claro")*'Critérios e pesos'!$G$9+(I65="Em parte")*'Critérios e pesos'!$G$9/2+(J65="Claro")*'Critérios e pesos'!$G$10+(J65="Em parte")*'Critérios e pesos'!$G$10/2+(K65="Claro")*'Critérios e pesos'!$G$11+(K65="Em parte")*'Critérios e pesos'!$G$11/2+(L65="Claro")*'Critérios e pesos'!$G$12+(L65="Em parte")*'Critérios e pesos'!$G$12/2+(M65="Claro")*'Critérios e pesos'!$G$13+(M65="Em parte")*'Critérios e pesos'!$G$13/2)</f>
        <v/>
      </c>
      <c r="R65" s="14">
        <f>IF($B65="","",IFERROR(VLOOKUP(N65,'Critérios e pesos'!$B$17:$C$20,2,FALSE),0))</f>
        <v/>
      </c>
      <c r="S65" s="9">
        <f>IF($B65="","",MAX(0,P65+Q65+R65))</f>
        <v/>
      </c>
      <c r="T65" s="9">
        <f>IF($B65="","",IF(O65&lt;&gt;"","X",IF(S65&gt;='Critérios e pesos'!$C$29,"A",IF(S65&gt;='Critérios e pesos'!$C$30,"B","C"))))</f>
        <v/>
      </c>
      <c r="U65" s="14">
        <f>IF(T65="","",INDEX('Critérios e pesos'!$D$29:$D$32,MATCH(T65,'Critérios e pesos'!$A$29:$A$32,0)))</f>
        <v/>
      </c>
      <c r="V65" s="14">
        <f>IF(T65="","",INDEX('Critérios e pesos'!$F$29:$F$32,MATCH(T65,'Critérios e pesos'!$A$29:$A$32,0)))</f>
        <v/>
      </c>
      <c r="W65" s="15">
        <f>IF(OR(AH65="",AJ65=""),"",IF(AI65+AJ65*60&lt;=ROUND('Critérios e pesos'!$C$37*1440,0),INT(AH65)+(AI65+AJ65*60)/1440,WORKDAY(INT(AH65),1+INT((AI65+AJ65*60-ROUND('Critérios e pesos'!$C$37*1440,0)-1)/(ROUND('Critérios e pesos'!$C$37*1440,0)-ROUND('Critérios e pesos'!$C$36*1440,0))))+(ROUND('Critérios e pesos'!$C$36*1440,0)+AI65+AJ65*60-ROUND('Critérios e pesos'!$C$37*1440,0)-INT((AI65+AJ65*60-ROUND('Critérios e pesos'!$C$37*1440,0)-1)/(ROUND('Critérios e pesos'!$C$37*1440,0)-ROUND('Critérios e pesos'!$C$36*1440,0)))*(ROUND('Critérios e pesos'!$C$37*1440,0)-ROUND('Critérios e pesos'!$C$36*1440,0)))/1440))</f>
        <v/>
      </c>
      <c r="X65" s="16" t="n"/>
      <c r="Y65" s="14">
        <f>IF(W65="","",IF(X65="",IF(NOW()&gt;W65,"Atrasado","Em espera"),IF(X65&lt;=W65,"No prazo","Atrasado")))</f>
        <v/>
      </c>
      <c r="Z65" s="17" t="n"/>
      <c r="AA65" s="14">
        <f>IF($B65="","",IF(OR(T65="X",AD65&lt;&gt;""),0,MAX(0,MIN(Q65,'Critérios e pesos'!$C$38*INT((TODAY()-IF(Z65&lt;&gt;"",Z65,INT($A65)))/7)))))</f>
        <v/>
      </c>
      <c r="AB65" s="14">
        <f>IF($B65="","",MAX(0,S65-AA65))</f>
        <v/>
      </c>
      <c r="AC65" s="9">
        <f>IF($B65="","",IF(T65="X","X",IF(AB65&gt;='Critérios e pesos'!$C$29,"A",IF(AB65&gt;='Critérios e pesos'!$C$30,"B","C"))))</f>
        <v/>
      </c>
      <c r="AD65" s="4" t="n"/>
      <c r="AE65" s="18" t="n"/>
      <c r="AF65" s="6" t="n"/>
      <c r="AH65">
        <f>IF($A65="","",IF(OR(WEEKDAY($A65,2)&gt;5,ROUND(MOD($A65,1)*1440,0)&gt;=ROUND('Critérios e pesos'!$C$37*1440,0)),WORKDAY(INT($A65),1)+ROUND('Critérios e pesos'!$C$36*1440,0)/1440,IF(ROUND(MOD($A65,1)*1440,0)&lt;ROUND('Critérios e pesos'!$C$36*1440,0),INT($A65)+ROUND('Critérios e pesos'!$C$36*1440,0)/1440,$A65)))</f>
        <v/>
      </c>
      <c r="AI65">
        <f>IF(AH65="","",ROUND(MOD(AH65,1)*1440,0))</f>
        <v/>
      </c>
      <c r="AJ65">
        <f>IF(T65="","",INDEX('Critérios e pesos'!$E$29:$E$32,MATCH(T65,'Critérios e pesos'!$A$29:$A$32,0)))</f>
        <v/>
      </c>
    </row>
    <row r="66">
      <c r="A66" s="13" t="n"/>
      <c r="B66" s="6" t="n"/>
      <c r="C66" s="6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6" t="n"/>
      <c r="O66" s="6" t="n"/>
      <c r="P66" s="14">
        <f>IF($B66="","",(E66="Claro")*'Critérios e pesos'!$G$5+(E66="Em parte")*'Critérios e pesos'!$G$5/2+(F66="Claro")*'Critérios e pesos'!$G$6+(F66="Em parte")*'Critérios e pesos'!$G$6/2+(G66="Claro")*'Critérios e pesos'!$G$7+(G66="Em parte")*'Critérios e pesos'!$G$7/2+(H66="Claro")*'Critérios e pesos'!$G$8+(H66="Em parte")*'Critérios e pesos'!$G$8/2)</f>
        <v/>
      </c>
      <c r="Q66" s="14">
        <f>IF($B66="","",(I66="Claro")*'Critérios e pesos'!$G$9+(I66="Em parte")*'Critérios e pesos'!$G$9/2+(J66="Claro")*'Critérios e pesos'!$G$10+(J66="Em parte")*'Critérios e pesos'!$G$10/2+(K66="Claro")*'Critérios e pesos'!$G$11+(K66="Em parte")*'Critérios e pesos'!$G$11/2+(L66="Claro")*'Critérios e pesos'!$G$12+(L66="Em parte")*'Critérios e pesos'!$G$12/2+(M66="Claro")*'Critérios e pesos'!$G$13+(M66="Em parte")*'Critérios e pesos'!$G$13/2)</f>
        <v/>
      </c>
      <c r="R66" s="14">
        <f>IF($B66="","",IFERROR(VLOOKUP(N66,'Critérios e pesos'!$B$17:$C$20,2,FALSE),0))</f>
        <v/>
      </c>
      <c r="S66" s="9">
        <f>IF($B66="","",MAX(0,P66+Q66+R66))</f>
        <v/>
      </c>
      <c r="T66" s="9">
        <f>IF($B66="","",IF(O66&lt;&gt;"","X",IF(S66&gt;='Critérios e pesos'!$C$29,"A",IF(S66&gt;='Critérios e pesos'!$C$30,"B","C"))))</f>
        <v/>
      </c>
      <c r="U66" s="14">
        <f>IF(T66="","",INDEX('Critérios e pesos'!$D$29:$D$32,MATCH(T66,'Critérios e pesos'!$A$29:$A$32,0)))</f>
        <v/>
      </c>
      <c r="V66" s="14">
        <f>IF(T66="","",INDEX('Critérios e pesos'!$F$29:$F$32,MATCH(T66,'Critérios e pesos'!$A$29:$A$32,0)))</f>
        <v/>
      </c>
      <c r="W66" s="15">
        <f>IF(OR(AH66="",AJ66=""),"",IF(AI66+AJ66*60&lt;=ROUND('Critérios e pesos'!$C$37*1440,0),INT(AH66)+(AI66+AJ66*60)/1440,WORKDAY(INT(AH66),1+INT((AI66+AJ66*60-ROUND('Critérios e pesos'!$C$37*1440,0)-1)/(ROUND('Critérios e pesos'!$C$37*1440,0)-ROUND('Critérios e pesos'!$C$36*1440,0))))+(ROUND('Critérios e pesos'!$C$36*1440,0)+AI66+AJ66*60-ROUND('Critérios e pesos'!$C$37*1440,0)-INT((AI66+AJ66*60-ROUND('Critérios e pesos'!$C$37*1440,0)-1)/(ROUND('Critérios e pesos'!$C$37*1440,0)-ROUND('Critérios e pesos'!$C$36*1440,0)))*(ROUND('Critérios e pesos'!$C$37*1440,0)-ROUND('Critérios e pesos'!$C$36*1440,0)))/1440))</f>
        <v/>
      </c>
      <c r="X66" s="16" t="n"/>
      <c r="Y66" s="14">
        <f>IF(W66="","",IF(X66="",IF(NOW()&gt;W66,"Atrasado","Em espera"),IF(X66&lt;=W66,"No prazo","Atrasado")))</f>
        <v/>
      </c>
      <c r="Z66" s="17" t="n"/>
      <c r="AA66" s="14">
        <f>IF($B66="","",IF(OR(T66="X",AD66&lt;&gt;""),0,MAX(0,MIN(Q66,'Critérios e pesos'!$C$38*INT((TODAY()-IF(Z66&lt;&gt;"",Z66,INT($A66)))/7)))))</f>
        <v/>
      </c>
      <c r="AB66" s="14">
        <f>IF($B66="","",MAX(0,S66-AA66))</f>
        <v/>
      </c>
      <c r="AC66" s="9">
        <f>IF($B66="","",IF(T66="X","X",IF(AB66&gt;='Critérios e pesos'!$C$29,"A",IF(AB66&gt;='Critérios e pesos'!$C$30,"B","C"))))</f>
        <v/>
      </c>
      <c r="AD66" s="4" t="n"/>
      <c r="AE66" s="18" t="n"/>
      <c r="AF66" s="6" t="n"/>
      <c r="AH66">
        <f>IF($A66="","",IF(OR(WEEKDAY($A66,2)&gt;5,ROUND(MOD($A66,1)*1440,0)&gt;=ROUND('Critérios e pesos'!$C$37*1440,0)),WORKDAY(INT($A66),1)+ROUND('Critérios e pesos'!$C$36*1440,0)/1440,IF(ROUND(MOD($A66,1)*1440,0)&lt;ROUND('Critérios e pesos'!$C$36*1440,0),INT($A66)+ROUND('Critérios e pesos'!$C$36*1440,0)/1440,$A66)))</f>
        <v/>
      </c>
      <c r="AI66">
        <f>IF(AH66="","",ROUND(MOD(AH66,1)*1440,0))</f>
        <v/>
      </c>
      <c r="AJ66">
        <f>IF(T66="","",INDEX('Critérios e pesos'!$E$29:$E$32,MATCH(T66,'Critérios e pesos'!$A$29:$A$32,0)))</f>
        <v/>
      </c>
    </row>
    <row r="67">
      <c r="A67" s="13" t="n"/>
      <c r="B67" s="6" t="n"/>
      <c r="C67" s="6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6" t="n"/>
      <c r="O67" s="6" t="n"/>
      <c r="P67" s="14">
        <f>IF($B67="","",(E67="Claro")*'Critérios e pesos'!$G$5+(E67="Em parte")*'Critérios e pesos'!$G$5/2+(F67="Claro")*'Critérios e pesos'!$G$6+(F67="Em parte")*'Critérios e pesos'!$G$6/2+(G67="Claro")*'Critérios e pesos'!$G$7+(G67="Em parte")*'Critérios e pesos'!$G$7/2+(H67="Claro")*'Critérios e pesos'!$G$8+(H67="Em parte")*'Critérios e pesos'!$G$8/2)</f>
        <v/>
      </c>
      <c r="Q67" s="14">
        <f>IF($B67="","",(I67="Claro")*'Critérios e pesos'!$G$9+(I67="Em parte")*'Critérios e pesos'!$G$9/2+(J67="Claro")*'Critérios e pesos'!$G$10+(J67="Em parte")*'Critérios e pesos'!$G$10/2+(K67="Claro")*'Critérios e pesos'!$G$11+(K67="Em parte")*'Critérios e pesos'!$G$11/2+(L67="Claro")*'Critérios e pesos'!$G$12+(L67="Em parte")*'Critérios e pesos'!$G$12/2+(M67="Claro")*'Critérios e pesos'!$G$13+(M67="Em parte")*'Critérios e pesos'!$G$13/2)</f>
        <v/>
      </c>
      <c r="R67" s="14">
        <f>IF($B67="","",IFERROR(VLOOKUP(N67,'Critérios e pesos'!$B$17:$C$20,2,FALSE),0))</f>
        <v/>
      </c>
      <c r="S67" s="9">
        <f>IF($B67="","",MAX(0,P67+Q67+R67))</f>
        <v/>
      </c>
      <c r="T67" s="9">
        <f>IF($B67="","",IF(O67&lt;&gt;"","X",IF(S67&gt;='Critérios e pesos'!$C$29,"A",IF(S67&gt;='Critérios e pesos'!$C$30,"B","C"))))</f>
        <v/>
      </c>
      <c r="U67" s="14">
        <f>IF(T67="","",INDEX('Critérios e pesos'!$D$29:$D$32,MATCH(T67,'Critérios e pesos'!$A$29:$A$32,0)))</f>
        <v/>
      </c>
      <c r="V67" s="14">
        <f>IF(T67="","",INDEX('Critérios e pesos'!$F$29:$F$32,MATCH(T67,'Critérios e pesos'!$A$29:$A$32,0)))</f>
        <v/>
      </c>
      <c r="W67" s="15">
        <f>IF(OR(AH67="",AJ67=""),"",IF(AI67+AJ67*60&lt;=ROUND('Critérios e pesos'!$C$37*1440,0),INT(AH67)+(AI67+AJ67*60)/1440,WORKDAY(INT(AH67),1+INT((AI67+AJ67*60-ROUND('Critérios e pesos'!$C$37*1440,0)-1)/(ROUND('Critérios e pesos'!$C$37*1440,0)-ROUND('Critérios e pesos'!$C$36*1440,0))))+(ROUND('Critérios e pesos'!$C$36*1440,0)+AI67+AJ67*60-ROUND('Critérios e pesos'!$C$37*1440,0)-INT((AI67+AJ67*60-ROUND('Critérios e pesos'!$C$37*1440,0)-1)/(ROUND('Critérios e pesos'!$C$37*1440,0)-ROUND('Critérios e pesos'!$C$36*1440,0)))*(ROUND('Critérios e pesos'!$C$37*1440,0)-ROUND('Critérios e pesos'!$C$36*1440,0)))/1440))</f>
        <v/>
      </c>
      <c r="X67" s="16" t="n"/>
      <c r="Y67" s="14">
        <f>IF(W67="","",IF(X67="",IF(NOW()&gt;W67,"Atrasado","Em espera"),IF(X67&lt;=W67,"No prazo","Atrasado")))</f>
        <v/>
      </c>
      <c r="Z67" s="17" t="n"/>
      <c r="AA67" s="14">
        <f>IF($B67="","",IF(OR(T67="X",AD67&lt;&gt;""),0,MAX(0,MIN(Q67,'Critérios e pesos'!$C$38*INT((TODAY()-IF(Z67&lt;&gt;"",Z67,INT($A67)))/7)))))</f>
        <v/>
      </c>
      <c r="AB67" s="14">
        <f>IF($B67="","",MAX(0,S67-AA67))</f>
        <v/>
      </c>
      <c r="AC67" s="9">
        <f>IF($B67="","",IF(T67="X","X",IF(AB67&gt;='Critérios e pesos'!$C$29,"A",IF(AB67&gt;='Critérios e pesos'!$C$30,"B","C"))))</f>
        <v/>
      </c>
      <c r="AD67" s="4" t="n"/>
      <c r="AE67" s="18" t="n"/>
      <c r="AF67" s="6" t="n"/>
      <c r="AH67">
        <f>IF($A67="","",IF(OR(WEEKDAY($A67,2)&gt;5,ROUND(MOD($A67,1)*1440,0)&gt;=ROUND('Critérios e pesos'!$C$37*1440,0)),WORKDAY(INT($A67),1)+ROUND('Critérios e pesos'!$C$36*1440,0)/1440,IF(ROUND(MOD($A67,1)*1440,0)&lt;ROUND('Critérios e pesos'!$C$36*1440,0),INT($A67)+ROUND('Critérios e pesos'!$C$36*1440,0)/1440,$A67)))</f>
        <v/>
      </c>
      <c r="AI67">
        <f>IF(AH67="","",ROUND(MOD(AH67,1)*1440,0))</f>
        <v/>
      </c>
      <c r="AJ67">
        <f>IF(T67="","",INDEX('Critérios e pesos'!$E$29:$E$32,MATCH(T67,'Critérios e pesos'!$A$29:$A$32,0)))</f>
        <v/>
      </c>
    </row>
    <row r="68">
      <c r="A68" s="13" t="n"/>
      <c r="B68" s="6" t="n"/>
      <c r="C68" s="6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6" t="n"/>
      <c r="O68" s="6" t="n"/>
      <c r="P68" s="14">
        <f>IF($B68="","",(E68="Claro")*'Critérios e pesos'!$G$5+(E68="Em parte")*'Critérios e pesos'!$G$5/2+(F68="Claro")*'Critérios e pesos'!$G$6+(F68="Em parte")*'Critérios e pesos'!$G$6/2+(G68="Claro")*'Critérios e pesos'!$G$7+(G68="Em parte")*'Critérios e pesos'!$G$7/2+(H68="Claro")*'Critérios e pesos'!$G$8+(H68="Em parte")*'Critérios e pesos'!$G$8/2)</f>
        <v/>
      </c>
      <c r="Q68" s="14">
        <f>IF($B68="","",(I68="Claro")*'Critérios e pesos'!$G$9+(I68="Em parte")*'Critérios e pesos'!$G$9/2+(J68="Claro")*'Critérios e pesos'!$G$10+(J68="Em parte")*'Critérios e pesos'!$G$10/2+(K68="Claro")*'Critérios e pesos'!$G$11+(K68="Em parte")*'Critérios e pesos'!$G$11/2+(L68="Claro")*'Critérios e pesos'!$G$12+(L68="Em parte")*'Critérios e pesos'!$G$12/2+(M68="Claro")*'Critérios e pesos'!$G$13+(M68="Em parte")*'Critérios e pesos'!$G$13/2)</f>
        <v/>
      </c>
      <c r="R68" s="14">
        <f>IF($B68="","",IFERROR(VLOOKUP(N68,'Critérios e pesos'!$B$17:$C$20,2,FALSE),0))</f>
        <v/>
      </c>
      <c r="S68" s="9">
        <f>IF($B68="","",MAX(0,P68+Q68+R68))</f>
        <v/>
      </c>
      <c r="T68" s="9">
        <f>IF($B68="","",IF(O68&lt;&gt;"","X",IF(S68&gt;='Critérios e pesos'!$C$29,"A",IF(S68&gt;='Critérios e pesos'!$C$30,"B","C"))))</f>
        <v/>
      </c>
      <c r="U68" s="14">
        <f>IF(T68="","",INDEX('Critérios e pesos'!$D$29:$D$32,MATCH(T68,'Critérios e pesos'!$A$29:$A$32,0)))</f>
        <v/>
      </c>
      <c r="V68" s="14">
        <f>IF(T68="","",INDEX('Critérios e pesos'!$F$29:$F$32,MATCH(T68,'Critérios e pesos'!$A$29:$A$32,0)))</f>
        <v/>
      </c>
      <c r="W68" s="15">
        <f>IF(OR(AH68="",AJ68=""),"",IF(AI68+AJ68*60&lt;=ROUND('Critérios e pesos'!$C$37*1440,0),INT(AH68)+(AI68+AJ68*60)/1440,WORKDAY(INT(AH68),1+INT((AI68+AJ68*60-ROUND('Critérios e pesos'!$C$37*1440,0)-1)/(ROUND('Critérios e pesos'!$C$37*1440,0)-ROUND('Critérios e pesos'!$C$36*1440,0))))+(ROUND('Critérios e pesos'!$C$36*1440,0)+AI68+AJ68*60-ROUND('Critérios e pesos'!$C$37*1440,0)-INT((AI68+AJ68*60-ROUND('Critérios e pesos'!$C$37*1440,0)-1)/(ROUND('Critérios e pesos'!$C$37*1440,0)-ROUND('Critérios e pesos'!$C$36*1440,0)))*(ROUND('Critérios e pesos'!$C$37*1440,0)-ROUND('Critérios e pesos'!$C$36*1440,0)))/1440))</f>
        <v/>
      </c>
      <c r="X68" s="16" t="n"/>
      <c r="Y68" s="14">
        <f>IF(W68="","",IF(X68="",IF(NOW()&gt;W68,"Atrasado","Em espera"),IF(X68&lt;=W68,"No prazo","Atrasado")))</f>
        <v/>
      </c>
      <c r="Z68" s="17" t="n"/>
      <c r="AA68" s="14">
        <f>IF($B68="","",IF(OR(T68="X",AD68&lt;&gt;""),0,MAX(0,MIN(Q68,'Critérios e pesos'!$C$38*INT((TODAY()-IF(Z68&lt;&gt;"",Z68,INT($A68)))/7)))))</f>
        <v/>
      </c>
      <c r="AB68" s="14">
        <f>IF($B68="","",MAX(0,S68-AA68))</f>
        <v/>
      </c>
      <c r="AC68" s="9">
        <f>IF($B68="","",IF(T68="X","X",IF(AB68&gt;='Critérios e pesos'!$C$29,"A",IF(AB68&gt;='Critérios e pesos'!$C$30,"B","C"))))</f>
        <v/>
      </c>
      <c r="AD68" s="4" t="n"/>
      <c r="AE68" s="18" t="n"/>
      <c r="AF68" s="6" t="n"/>
      <c r="AH68">
        <f>IF($A68="","",IF(OR(WEEKDAY($A68,2)&gt;5,ROUND(MOD($A68,1)*1440,0)&gt;=ROUND('Critérios e pesos'!$C$37*1440,0)),WORKDAY(INT($A68),1)+ROUND('Critérios e pesos'!$C$36*1440,0)/1440,IF(ROUND(MOD($A68,1)*1440,0)&lt;ROUND('Critérios e pesos'!$C$36*1440,0),INT($A68)+ROUND('Critérios e pesos'!$C$36*1440,0)/1440,$A68)))</f>
        <v/>
      </c>
      <c r="AI68">
        <f>IF(AH68="","",ROUND(MOD(AH68,1)*1440,0))</f>
        <v/>
      </c>
      <c r="AJ68">
        <f>IF(T68="","",INDEX('Critérios e pesos'!$E$29:$E$32,MATCH(T68,'Critérios e pesos'!$A$29:$A$32,0)))</f>
        <v/>
      </c>
    </row>
    <row r="69">
      <c r="A69" s="13" t="n"/>
      <c r="B69" s="6" t="n"/>
      <c r="C69" s="6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6" t="n"/>
      <c r="O69" s="6" t="n"/>
      <c r="P69" s="14">
        <f>IF($B69="","",(E69="Claro")*'Critérios e pesos'!$G$5+(E69="Em parte")*'Critérios e pesos'!$G$5/2+(F69="Claro")*'Critérios e pesos'!$G$6+(F69="Em parte")*'Critérios e pesos'!$G$6/2+(G69="Claro")*'Critérios e pesos'!$G$7+(G69="Em parte")*'Critérios e pesos'!$G$7/2+(H69="Claro")*'Critérios e pesos'!$G$8+(H69="Em parte")*'Critérios e pesos'!$G$8/2)</f>
        <v/>
      </c>
      <c r="Q69" s="14">
        <f>IF($B69="","",(I69="Claro")*'Critérios e pesos'!$G$9+(I69="Em parte")*'Critérios e pesos'!$G$9/2+(J69="Claro")*'Critérios e pesos'!$G$10+(J69="Em parte")*'Critérios e pesos'!$G$10/2+(K69="Claro")*'Critérios e pesos'!$G$11+(K69="Em parte")*'Critérios e pesos'!$G$11/2+(L69="Claro")*'Critérios e pesos'!$G$12+(L69="Em parte")*'Critérios e pesos'!$G$12/2+(M69="Claro")*'Critérios e pesos'!$G$13+(M69="Em parte")*'Critérios e pesos'!$G$13/2)</f>
        <v/>
      </c>
      <c r="R69" s="14">
        <f>IF($B69="","",IFERROR(VLOOKUP(N69,'Critérios e pesos'!$B$17:$C$20,2,FALSE),0))</f>
        <v/>
      </c>
      <c r="S69" s="9">
        <f>IF($B69="","",MAX(0,P69+Q69+R69))</f>
        <v/>
      </c>
      <c r="T69" s="9">
        <f>IF($B69="","",IF(O69&lt;&gt;"","X",IF(S69&gt;='Critérios e pesos'!$C$29,"A",IF(S69&gt;='Critérios e pesos'!$C$30,"B","C"))))</f>
        <v/>
      </c>
      <c r="U69" s="14">
        <f>IF(T69="","",INDEX('Critérios e pesos'!$D$29:$D$32,MATCH(T69,'Critérios e pesos'!$A$29:$A$32,0)))</f>
        <v/>
      </c>
      <c r="V69" s="14">
        <f>IF(T69="","",INDEX('Critérios e pesos'!$F$29:$F$32,MATCH(T69,'Critérios e pesos'!$A$29:$A$32,0)))</f>
        <v/>
      </c>
      <c r="W69" s="15">
        <f>IF(OR(AH69="",AJ69=""),"",IF(AI69+AJ69*60&lt;=ROUND('Critérios e pesos'!$C$37*1440,0),INT(AH69)+(AI69+AJ69*60)/1440,WORKDAY(INT(AH69),1+INT((AI69+AJ69*60-ROUND('Critérios e pesos'!$C$37*1440,0)-1)/(ROUND('Critérios e pesos'!$C$37*1440,0)-ROUND('Critérios e pesos'!$C$36*1440,0))))+(ROUND('Critérios e pesos'!$C$36*1440,0)+AI69+AJ69*60-ROUND('Critérios e pesos'!$C$37*1440,0)-INT((AI69+AJ69*60-ROUND('Critérios e pesos'!$C$37*1440,0)-1)/(ROUND('Critérios e pesos'!$C$37*1440,0)-ROUND('Critérios e pesos'!$C$36*1440,0)))*(ROUND('Critérios e pesos'!$C$37*1440,0)-ROUND('Critérios e pesos'!$C$36*1440,0)))/1440))</f>
        <v/>
      </c>
      <c r="X69" s="16" t="n"/>
      <c r="Y69" s="14">
        <f>IF(W69="","",IF(X69="",IF(NOW()&gt;W69,"Atrasado","Em espera"),IF(X69&lt;=W69,"No prazo","Atrasado")))</f>
        <v/>
      </c>
      <c r="Z69" s="17" t="n"/>
      <c r="AA69" s="14">
        <f>IF($B69="","",IF(OR(T69="X",AD69&lt;&gt;""),0,MAX(0,MIN(Q69,'Critérios e pesos'!$C$38*INT((TODAY()-IF(Z69&lt;&gt;"",Z69,INT($A69)))/7)))))</f>
        <v/>
      </c>
      <c r="AB69" s="14">
        <f>IF($B69="","",MAX(0,S69-AA69))</f>
        <v/>
      </c>
      <c r="AC69" s="9">
        <f>IF($B69="","",IF(T69="X","X",IF(AB69&gt;='Critérios e pesos'!$C$29,"A",IF(AB69&gt;='Critérios e pesos'!$C$30,"B","C"))))</f>
        <v/>
      </c>
      <c r="AD69" s="4" t="n"/>
      <c r="AE69" s="18" t="n"/>
      <c r="AF69" s="6" t="n"/>
      <c r="AH69">
        <f>IF($A69="","",IF(OR(WEEKDAY($A69,2)&gt;5,ROUND(MOD($A69,1)*1440,0)&gt;=ROUND('Critérios e pesos'!$C$37*1440,0)),WORKDAY(INT($A69),1)+ROUND('Critérios e pesos'!$C$36*1440,0)/1440,IF(ROUND(MOD($A69,1)*1440,0)&lt;ROUND('Critérios e pesos'!$C$36*1440,0),INT($A69)+ROUND('Critérios e pesos'!$C$36*1440,0)/1440,$A69)))</f>
        <v/>
      </c>
      <c r="AI69">
        <f>IF(AH69="","",ROUND(MOD(AH69,1)*1440,0))</f>
        <v/>
      </c>
      <c r="AJ69">
        <f>IF(T69="","",INDEX('Critérios e pesos'!$E$29:$E$32,MATCH(T69,'Critérios e pesos'!$A$29:$A$32,0)))</f>
        <v/>
      </c>
    </row>
    <row r="70">
      <c r="A70" s="13" t="n"/>
      <c r="B70" s="6" t="n"/>
      <c r="C70" s="6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6" t="n"/>
      <c r="O70" s="6" t="n"/>
      <c r="P70" s="14">
        <f>IF($B70="","",(E70="Claro")*'Critérios e pesos'!$G$5+(E70="Em parte")*'Critérios e pesos'!$G$5/2+(F70="Claro")*'Critérios e pesos'!$G$6+(F70="Em parte")*'Critérios e pesos'!$G$6/2+(G70="Claro")*'Critérios e pesos'!$G$7+(G70="Em parte")*'Critérios e pesos'!$G$7/2+(H70="Claro")*'Critérios e pesos'!$G$8+(H70="Em parte")*'Critérios e pesos'!$G$8/2)</f>
        <v/>
      </c>
      <c r="Q70" s="14">
        <f>IF($B70="","",(I70="Claro")*'Critérios e pesos'!$G$9+(I70="Em parte")*'Critérios e pesos'!$G$9/2+(J70="Claro")*'Critérios e pesos'!$G$10+(J70="Em parte")*'Critérios e pesos'!$G$10/2+(K70="Claro")*'Critérios e pesos'!$G$11+(K70="Em parte")*'Critérios e pesos'!$G$11/2+(L70="Claro")*'Critérios e pesos'!$G$12+(L70="Em parte")*'Critérios e pesos'!$G$12/2+(M70="Claro")*'Critérios e pesos'!$G$13+(M70="Em parte")*'Critérios e pesos'!$G$13/2)</f>
        <v/>
      </c>
      <c r="R70" s="14">
        <f>IF($B70="","",IFERROR(VLOOKUP(N70,'Critérios e pesos'!$B$17:$C$20,2,FALSE),0))</f>
        <v/>
      </c>
      <c r="S70" s="9">
        <f>IF($B70="","",MAX(0,P70+Q70+R70))</f>
        <v/>
      </c>
      <c r="T70" s="9">
        <f>IF($B70="","",IF(O70&lt;&gt;"","X",IF(S70&gt;='Critérios e pesos'!$C$29,"A",IF(S70&gt;='Critérios e pesos'!$C$30,"B","C"))))</f>
        <v/>
      </c>
      <c r="U70" s="14">
        <f>IF(T70="","",INDEX('Critérios e pesos'!$D$29:$D$32,MATCH(T70,'Critérios e pesos'!$A$29:$A$32,0)))</f>
        <v/>
      </c>
      <c r="V70" s="14">
        <f>IF(T70="","",INDEX('Critérios e pesos'!$F$29:$F$32,MATCH(T70,'Critérios e pesos'!$A$29:$A$32,0)))</f>
        <v/>
      </c>
      <c r="W70" s="15">
        <f>IF(OR(AH70="",AJ70=""),"",IF(AI70+AJ70*60&lt;=ROUND('Critérios e pesos'!$C$37*1440,0),INT(AH70)+(AI70+AJ70*60)/1440,WORKDAY(INT(AH70),1+INT((AI70+AJ70*60-ROUND('Critérios e pesos'!$C$37*1440,0)-1)/(ROUND('Critérios e pesos'!$C$37*1440,0)-ROUND('Critérios e pesos'!$C$36*1440,0))))+(ROUND('Critérios e pesos'!$C$36*1440,0)+AI70+AJ70*60-ROUND('Critérios e pesos'!$C$37*1440,0)-INT((AI70+AJ70*60-ROUND('Critérios e pesos'!$C$37*1440,0)-1)/(ROUND('Critérios e pesos'!$C$37*1440,0)-ROUND('Critérios e pesos'!$C$36*1440,0)))*(ROUND('Critérios e pesos'!$C$37*1440,0)-ROUND('Critérios e pesos'!$C$36*1440,0)))/1440))</f>
        <v/>
      </c>
      <c r="X70" s="16" t="n"/>
      <c r="Y70" s="14">
        <f>IF(W70="","",IF(X70="",IF(NOW()&gt;W70,"Atrasado","Em espera"),IF(X70&lt;=W70,"No prazo","Atrasado")))</f>
        <v/>
      </c>
      <c r="Z70" s="17" t="n"/>
      <c r="AA70" s="14">
        <f>IF($B70="","",IF(OR(T70="X",AD70&lt;&gt;""),0,MAX(0,MIN(Q70,'Critérios e pesos'!$C$38*INT((TODAY()-IF(Z70&lt;&gt;"",Z70,INT($A70)))/7)))))</f>
        <v/>
      </c>
      <c r="AB70" s="14">
        <f>IF($B70="","",MAX(0,S70-AA70))</f>
        <v/>
      </c>
      <c r="AC70" s="9">
        <f>IF($B70="","",IF(T70="X","X",IF(AB70&gt;='Critérios e pesos'!$C$29,"A",IF(AB70&gt;='Critérios e pesos'!$C$30,"B","C"))))</f>
        <v/>
      </c>
      <c r="AD70" s="4" t="n"/>
      <c r="AE70" s="18" t="n"/>
      <c r="AF70" s="6" t="n"/>
      <c r="AH70">
        <f>IF($A70="","",IF(OR(WEEKDAY($A70,2)&gt;5,ROUND(MOD($A70,1)*1440,0)&gt;=ROUND('Critérios e pesos'!$C$37*1440,0)),WORKDAY(INT($A70),1)+ROUND('Critérios e pesos'!$C$36*1440,0)/1440,IF(ROUND(MOD($A70,1)*1440,0)&lt;ROUND('Critérios e pesos'!$C$36*1440,0),INT($A70)+ROUND('Critérios e pesos'!$C$36*1440,0)/1440,$A70)))</f>
        <v/>
      </c>
      <c r="AI70">
        <f>IF(AH70="","",ROUND(MOD(AH70,1)*1440,0))</f>
        <v/>
      </c>
      <c r="AJ70">
        <f>IF(T70="","",INDEX('Critérios e pesos'!$E$29:$E$32,MATCH(T70,'Critérios e pesos'!$A$29:$A$32,0)))</f>
        <v/>
      </c>
    </row>
    <row r="71">
      <c r="A71" s="13" t="n"/>
      <c r="B71" s="6" t="n"/>
      <c r="C71" s="6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6" t="n"/>
      <c r="O71" s="6" t="n"/>
      <c r="P71" s="14">
        <f>IF($B71="","",(E71="Claro")*'Critérios e pesos'!$G$5+(E71="Em parte")*'Critérios e pesos'!$G$5/2+(F71="Claro")*'Critérios e pesos'!$G$6+(F71="Em parte")*'Critérios e pesos'!$G$6/2+(G71="Claro")*'Critérios e pesos'!$G$7+(G71="Em parte")*'Critérios e pesos'!$G$7/2+(H71="Claro")*'Critérios e pesos'!$G$8+(H71="Em parte")*'Critérios e pesos'!$G$8/2)</f>
        <v/>
      </c>
      <c r="Q71" s="14">
        <f>IF($B71="","",(I71="Claro")*'Critérios e pesos'!$G$9+(I71="Em parte")*'Critérios e pesos'!$G$9/2+(J71="Claro")*'Critérios e pesos'!$G$10+(J71="Em parte")*'Critérios e pesos'!$G$10/2+(K71="Claro")*'Critérios e pesos'!$G$11+(K71="Em parte")*'Critérios e pesos'!$G$11/2+(L71="Claro")*'Critérios e pesos'!$G$12+(L71="Em parte")*'Critérios e pesos'!$G$12/2+(M71="Claro")*'Critérios e pesos'!$G$13+(M71="Em parte")*'Critérios e pesos'!$G$13/2)</f>
        <v/>
      </c>
      <c r="R71" s="14">
        <f>IF($B71="","",IFERROR(VLOOKUP(N71,'Critérios e pesos'!$B$17:$C$20,2,FALSE),0))</f>
        <v/>
      </c>
      <c r="S71" s="9">
        <f>IF($B71="","",MAX(0,P71+Q71+R71))</f>
        <v/>
      </c>
      <c r="T71" s="9">
        <f>IF($B71="","",IF(O71&lt;&gt;"","X",IF(S71&gt;='Critérios e pesos'!$C$29,"A",IF(S71&gt;='Critérios e pesos'!$C$30,"B","C"))))</f>
        <v/>
      </c>
      <c r="U71" s="14">
        <f>IF(T71="","",INDEX('Critérios e pesos'!$D$29:$D$32,MATCH(T71,'Critérios e pesos'!$A$29:$A$32,0)))</f>
        <v/>
      </c>
      <c r="V71" s="14">
        <f>IF(T71="","",INDEX('Critérios e pesos'!$F$29:$F$32,MATCH(T71,'Critérios e pesos'!$A$29:$A$32,0)))</f>
        <v/>
      </c>
      <c r="W71" s="15">
        <f>IF(OR(AH71="",AJ71=""),"",IF(AI71+AJ71*60&lt;=ROUND('Critérios e pesos'!$C$37*1440,0),INT(AH71)+(AI71+AJ71*60)/1440,WORKDAY(INT(AH71),1+INT((AI71+AJ71*60-ROUND('Critérios e pesos'!$C$37*1440,0)-1)/(ROUND('Critérios e pesos'!$C$37*1440,0)-ROUND('Critérios e pesos'!$C$36*1440,0))))+(ROUND('Critérios e pesos'!$C$36*1440,0)+AI71+AJ71*60-ROUND('Critérios e pesos'!$C$37*1440,0)-INT((AI71+AJ71*60-ROUND('Critérios e pesos'!$C$37*1440,0)-1)/(ROUND('Critérios e pesos'!$C$37*1440,0)-ROUND('Critérios e pesos'!$C$36*1440,0)))*(ROUND('Critérios e pesos'!$C$37*1440,0)-ROUND('Critérios e pesos'!$C$36*1440,0)))/1440))</f>
        <v/>
      </c>
      <c r="X71" s="16" t="n"/>
      <c r="Y71" s="14">
        <f>IF(W71="","",IF(X71="",IF(NOW()&gt;W71,"Atrasado","Em espera"),IF(X71&lt;=W71,"No prazo","Atrasado")))</f>
        <v/>
      </c>
      <c r="Z71" s="17" t="n"/>
      <c r="AA71" s="14">
        <f>IF($B71="","",IF(OR(T71="X",AD71&lt;&gt;""),0,MAX(0,MIN(Q71,'Critérios e pesos'!$C$38*INT((TODAY()-IF(Z71&lt;&gt;"",Z71,INT($A71)))/7)))))</f>
        <v/>
      </c>
      <c r="AB71" s="14">
        <f>IF($B71="","",MAX(0,S71-AA71))</f>
        <v/>
      </c>
      <c r="AC71" s="9">
        <f>IF($B71="","",IF(T71="X","X",IF(AB71&gt;='Critérios e pesos'!$C$29,"A",IF(AB71&gt;='Critérios e pesos'!$C$30,"B","C"))))</f>
        <v/>
      </c>
      <c r="AD71" s="4" t="n"/>
      <c r="AE71" s="18" t="n"/>
      <c r="AF71" s="6" t="n"/>
      <c r="AH71">
        <f>IF($A71="","",IF(OR(WEEKDAY($A71,2)&gt;5,ROUND(MOD($A71,1)*1440,0)&gt;=ROUND('Critérios e pesos'!$C$37*1440,0)),WORKDAY(INT($A71),1)+ROUND('Critérios e pesos'!$C$36*1440,0)/1440,IF(ROUND(MOD($A71,1)*1440,0)&lt;ROUND('Critérios e pesos'!$C$36*1440,0),INT($A71)+ROUND('Critérios e pesos'!$C$36*1440,0)/1440,$A71)))</f>
        <v/>
      </c>
      <c r="AI71">
        <f>IF(AH71="","",ROUND(MOD(AH71,1)*1440,0))</f>
        <v/>
      </c>
      <c r="AJ71">
        <f>IF(T71="","",INDEX('Critérios e pesos'!$E$29:$E$32,MATCH(T71,'Critérios e pesos'!$A$29:$A$32,0)))</f>
        <v/>
      </c>
    </row>
    <row r="72">
      <c r="A72" s="13" t="n"/>
      <c r="B72" s="6" t="n"/>
      <c r="C72" s="6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6" t="n"/>
      <c r="O72" s="6" t="n"/>
      <c r="P72" s="14">
        <f>IF($B72="","",(E72="Claro")*'Critérios e pesos'!$G$5+(E72="Em parte")*'Critérios e pesos'!$G$5/2+(F72="Claro")*'Critérios e pesos'!$G$6+(F72="Em parte")*'Critérios e pesos'!$G$6/2+(G72="Claro")*'Critérios e pesos'!$G$7+(G72="Em parte")*'Critérios e pesos'!$G$7/2+(H72="Claro")*'Critérios e pesos'!$G$8+(H72="Em parte")*'Critérios e pesos'!$G$8/2)</f>
        <v/>
      </c>
      <c r="Q72" s="14">
        <f>IF($B72="","",(I72="Claro")*'Critérios e pesos'!$G$9+(I72="Em parte")*'Critérios e pesos'!$G$9/2+(J72="Claro")*'Critérios e pesos'!$G$10+(J72="Em parte")*'Critérios e pesos'!$G$10/2+(K72="Claro")*'Critérios e pesos'!$G$11+(K72="Em parte")*'Critérios e pesos'!$G$11/2+(L72="Claro")*'Critérios e pesos'!$G$12+(L72="Em parte")*'Critérios e pesos'!$G$12/2+(M72="Claro")*'Critérios e pesos'!$G$13+(M72="Em parte")*'Critérios e pesos'!$G$13/2)</f>
        <v/>
      </c>
      <c r="R72" s="14">
        <f>IF($B72="","",IFERROR(VLOOKUP(N72,'Critérios e pesos'!$B$17:$C$20,2,FALSE),0))</f>
        <v/>
      </c>
      <c r="S72" s="9">
        <f>IF($B72="","",MAX(0,P72+Q72+R72))</f>
        <v/>
      </c>
      <c r="T72" s="9">
        <f>IF($B72="","",IF(O72&lt;&gt;"","X",IF(S72&gt;='Critérios e pesos'!$C$29,"A",IF(S72&gt;='Critérios e pesos'!$C$30,"B","C"))))</f>
        <v/>
      </c>
      <c r="U72" s="14">
        <f>IF(T72="","",INDEX('Critérios e pesos'!$D$29:$D$32,MATCH(T72,'Critérios e pesos'!$A$29:$A$32,0)))</f>
        <v/>
      </c>
      <c r="V72" s="14">
        <f>IF(T72="","",INDEX('Critérios e pesos'!$F$29:$F$32,MATCH(T72,'Critérios e pesos'!$A$29:$A$32,0)))</f>
        <v/>
      </c>
      <c r="W72" s="15">
        <f>IF(OR(AH72="",AJ72=""),"",IF(AI72+AJ72*60&lt;=ROUND('Critérios e pesos'!$C$37*1440,0),INT(AH72)+(AI72+AJ72*60)/1440,WORKDAY(INT(AH72),1+INT((AI72+AJ72*60-ROUND('Critérios e pesos'!$C$37*1440,0)-1)/(ROUND('Critérios e pesos'!$C$37*1440,0)-ROUND('Critérios e pesos'!$C$36*1440,0))))+(ROUND('Critérios e pesos'!$C$36*1440,0)+AI72+AJ72*60-ROUND('Critérios e pesos'!$C$37*1440,0)-INT((AI72+AJ72*60-ROUND('Critérios e pesos'!$C$37*1440,0)-1)/(ROUND('Critérios e pesos'!$C$37*1440,0)-ROUND('Critérios e pesos'!$C$36*1440,0)))*(ROUND('Critérios e pesos'!$C$37*1440,0)-ROUND('Critérios e pesos'!$C$36*1440,0)))/1440))</f>
        <v/>
      </c>
      <c r="X72" s="16" t="n"/>
      <c r="Y72" s="14">
        <f>IF(W72="","",IF(X72="",IF(NOW()&gt;W72,"Atrasado","Em espera"),IF(X72&lt;=W72,"No prazo","Atrasado")))</f>
        <v/>
      </c>
      <c r="Z72" s="17" t="n"/>
      <c r="AA72" s="14">
        <f>IF($B72="","",IF(OR(T72="X",AD72&lt;&gt;""),0,MAX(0,MIN(Q72,'Critérios e pesos'!$C$38*INT((TODAY()-IF(Z72&lt;&gt;"",Z72,INT($A72)))/7)))))</f>
        <v/>
      </c>
      <c r="AB72" s="14">
        <f>IF($B72="","",MAX(0,S72-AA72))</f>
        <v/>
      </c>
      <c r="AC72" s="9">
        <f>IF($B72="","",IF(T72="X","X",IF(AB72&gt;='Critérios e pesos'!$C$29,"A",IF(AB72&gt;='Critérios e pesos'!$C$30,"B","C"))))</f>
        <v/>
      </c>
      <c r="AD72" s="4" t="n"/>
      <c r="AE72" s="18" t="n"/>
      <c r="AF72" s="6" t="n"/>
      <c r="AH72">
        <f>IF($A72="","",IF(OR(WEEKDAY($A72,2)&gt;5,ROUND(MOD($A72,1)*1440,0)&gt;=ROUND('Critérios e pesos'!$C$37*1440,0)),WORKDAY(INT($A72),1)+ROUND('Critérios e pesos'!$C$36*1440,0)/1440,IF(ROUND(MOD($A72,1)*1440,0)&lt;ROUND('Critérios e pesos'!$C$36*1440,0),INT($A72)+ROUND('Critérios e pesos'!$C$36*1440,0)/1440,$A72)))</f>
        <v/>
      </c>
      <c r="AI72">
        <f>IF(AH72="","",ROUND(MOD(AH72,1)*1440,0))</f>
        <v/>
      </c>
      <c r="AJ72">
        <f>IF(T72="","",INDEX('Critérios e pesos'!$E$29:$E$32,MATCH(T72,'Critérios e pesos'!$A$29:$A$32,0)))</f>
        <v/>
      </c>
    </row>
    <row r="73">
      <c r="A73" s="13" t="n"/>
      <c r="B73" s="6" t="n"/>
      <c r="C73" s="6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6" t="n"/>
      <c r="O73" s="6" t="n"/>
      <c r="P73" s="14">
        <f>IF($B73="","",(E73="Claro")*'Critérios e pesos'!$G$5+(E73="Em parte")*'Critérios e pesos'!$G$5/2+(F73="Claro")*'Critérios e pesos'!$G$6+(F73="Em parte")*'Critérios e pesos'!$G$6/2+(G73="Claro")*'Critérios e pesos'!$G$7+(G73="Em parte")*'Critérios e pesos'!$G$7/2+(H73="Claro")*'Critérios e pesos'!$G$8+(H73="Em parte")*'Critérios e pesos'!$G$8/2)</f>
        <v/>
      </c>
      <c r="Q73" s="14">
        <f>IF($B73="","",(I73="Claro")*'Critérios e pesos'!$G$9+(I73="Em parte")*'Critérios e pesos'!$G$9/2+(J73="Claro")*'Critérios e pesos'!$G$10+(J73="Em parte")*'Critérios e pesos'!$G$10/2+(K73="Claro")*'Critérios e pesos'!$G$11+(K73="Em parte")*'Critérios e pesos'!$G$11/2+(L73="Claro")*'Critérios e pesos'!$G$12+(L73="Em parte")*'Critérios e pesos'!$G$12/2+(M73="Claro")*'Critérios e pesos'!$G$13+(M73="Em parte")*'Critérios e pesos'!$G$13/2)</f>
        <v/>
      </c>
      <c r="R73" s="14">
        <f>IF($B73="","",IFERROR(VLOOKUP(N73,'Critérios e pesos'!$B$17:$C$20,2,FALSE),0))</f>
        <v/>
      </c>
      <c r="S73" s="9">
        <f>IF($B73="","",MAX(0,P73+Q73+R73))</f>
        <v/>
      </c>
      <c r="T73" s="9">
        <f>IF($B73="","",IF(O73&lt;&gt;"","X",IF(S73&gt;='Critérios e pesos'!$C$29,"A",IF(S73&gt;='Critérios e pesos'!$C$30,"B","C"))))</f>
        <v/>
      </c>
      <c r="U73" s="14">
        <f>IF(T73="","",INDEX('Critérios e pesos'!$D$29:$D$32,MATCH(T73,'Critérios e pesos'!$A$29:$A$32,0)))</f>
        <v/>
      </c>
      <c r="V73" s="14">
        <f>IF(T73="","",INDEX('Critérios e pesos'!$F$29:$F$32,MATCH(T73,'Critérios e pesos'!$A$29:$A$32,0)))</f>
        <v/>
      </c>
      <c r="W73" s="15">
        <f>IF(OR(AH73="",AJ73=""),"",IF(AI73+AJ73*60&lt;=ROUND('Critérios e pesos'!$C$37*1440,0),INT(AH73)+(AI73+AJ73*60)/1440,WORKDAY(INT(AH73),1+INT((AI73+AJ73*60-ROUND('Critérios e pesos'!$C$37*1440,0)-1)/(ROUND('Critérios e pesos'!$C$37*1440,0)-ROUND('Critérios e pesos'!$C$36*1440,0))))+(ROUND('Critérios e pesos'!$C$36*1440,0)+AI73+AJ73*60-ROUND('Critérios e pesos'!$C$37*1440,0)-INT((AI73+AJ73*60-ROUND('Critérios e pesos'!$C$37*1440,0)-1)/(ROUND('Critérios e pesos'!$C$37*1440,0)-ROUND('Critérios e pesos'!$C$36*1440,0)))*(ROUND('Critérios e pesos'!$C$37*1440,0)-ROUND('Critérios e pesos'!$C$36*1440,0)))/1440))</f>
        <v/>
      </c>
      <c r="X73" s="16" t="n"/>
      <c r="Y73" s="14">
        <f>IF(W73="","",IF(X73="",IF(NOW()&gt;W73,"Atrasado","Em espera"),IF(X73&lt;=W73,"No prazo","Atrasado")))</f>
        <v/>
      </c>
      <c r="Z73" s="17" t="n"/>
      <c r="AA73" s="14">
        <f>IF($B73="","",IF(OR(T73="X",AD73&lt;&gt;""),0,MAX(0,MIN(Q73,'Critérios e pesos'!$C$38*INT((TODAY()-IF(Z73&lt;&gt;"",Z73,INT($A73)))/7)))))</f>
        <v/>
      </c>
      <c r="AB73" s="14">
        <f>IF($B73="","",MAX(0,S73-AA73))</f>
        <v/>
      </c>
      <c r="AC73" s="9">
        <f>IF($B73="","",IF(T73="X","X",IF(AB73&gt;='Critérios e pesos'!$C$29,"A",IF(AB73&gt;='Critérios e pesos'!$C$30,"B","C"))))</f>
        <v/>
      </c>
      <c r="AD73" s="4" t="n"/>
      <c r="AE73" s="18" t="n"/>
      <c r="AF73" s="6" t="n"/>
      <c r="AH73">
        <f>IF($A73="","",IF(OR(WEEKDAY($A73,2)&gt;5,ROUND(MOD($A73,1)*1440,0)&gt;=ROUND('Critérios e pesos'!$C$37*1440,0)),WORKDAY(INT($A73),1)+ROUND('Critérios e pesos'!$C$36*1440,0)/1440,IF(ROUND(MOD($A73,1)*1440,0)&lt;ROUND('Critérios e pesos'!$C$36*1440,0),INT($A73)+ROUND('Critérios e pesos'!$C$36*1440,0)/1440,$A73)))</f>
        <v/>
      </c>
      <c r="AI73">
        <f>IF(AH73="","",ROUND(MOD(AH73,1)*1440,0))</f>
        <v/>
      </c>
      <c r="AJ73">
        <f>IF(T73="","",INDEX('Critérios e pesos'!$E$29:$E$32,MATCH(T73,'Critérios e pesos'!$A$29:$A$32,0)))</f>
        <v/>
      </c>
    </row>
    <row r="74">
      <c r="A74" s="13" t="n"/>
      <c r="B74" s="6" t="n"/>
      <c r="C74" s="6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6" t="n"/>
      <c r="O74" s="6" t="n"/>
      <c r="P74" s="14">
        <f>IF($B74="","",(E74="Claro")*'Critérios e pesos'!$G$5+(E74="Em parte")*'Critérios e pesos'!$G$5/2+(F74="Claro")*'Critérios e pesos'!$G$6+(F74="Em parte")*'Critérios e pesos'!$G$6/2+(G74="Claro")*'Critérios e pesos'!$G$7+(G74="Em parte")*'Critérios e pesos'!$G$7/2+(H74="Claro")*'Critérios e pesos'!$G$8+(H74="Em parte")*'Critérios e pesos'!$G$8/2)</f>
        <v/>
      </c>
      <c r="Q74" s="14">
        <f>IF($B74="","",(I74="Claro")*'Critérios e pesos'!$G$9+(I74="Em parte")*'Critérios e pesos'!$G$9/2+(J74="Claro")*'Critérios e pesos'!$G$10+(J74="Em parte")*'Critérios e pesos'!$G$10/2+(K74="Claro")*'Critérios e pesos'!$G$11+(K74="Em parte")*'Critérios e pesos'!$G$11/2+(L74="Claro")*'Critérios e pesos'!$G$12+(L74="Em parte")*'Critérios e pesos'!$G$12/2+(M74="Claro")*'Critérios e pesos'!$G$13+(M74="Em parte")*'Critérios e pesos'!$G$13/2)</f>
        <v/>
      </c>
      <c r="R74" s="14">
        <f>IF($B74="","",IFERROR(VLOOKUP(N74,'Critérios e pesos'!$B$17:$C$20,2,FALSE),0))</f>
        <v/>
      </c>
      <c r="S74" s="9">
        <f>IF($B74="","",MAX(0,P74+Q74+R74))</f>
        <v/>
      </c>
      <c r="T74" s="9">
        <f>IF($B74="","",IF(O74&lt;&gt;"","X",IF(S74&gt;='Critérios e pesos'!$C$29,"A",IF(S74&gt;='Critérios e pesos'!$C$30,"B","C"))))</f>
        <v/>
      </c>
      <c r="U74" s="14">
        <f>IF(T74="","",INDEX('Critérios e pesos'!$D$29:$D$32,MATCH(T74,'Critérios e pesos'!$A$29:$A$32,0)))</f>
        <v/>
      </c>
      <c r="V74" s="14">
        <f>IF(T74="","",INDEX('Critérios e pesos'!$F$29:$F$32,MATCH(T74,'Critérios e pesos'!$A$29:$A$32,0)))</f>
        <v/>
      </c>
      <c r="W74" s="15">
        <f>IF(OR(AH74="",AJ74=""),"",IF(AI74+AJ74*60&lt;=ROUND('Critérios e pesos'!$C$37*1440,0),INT(AH74)+(AI74+AJ74*60)/1440,WORKDAY(INT(AH74),1+INT((AI74+AJ74*60-ROUND('Critérios e pesos'!$C$37*1440,0)-1)/(ROUND('Critérios e pesos'!$C$37*1440,0)-ROUND('Critérios e pesos'!$C$36*1440,0))))+(ROUND('Critérios e pesos'!$C$36*1440,0)+AI74+AJ74*60-ROUND('Critérios e pesos'!$C$37*1440,0)-INT((AI74+AJ74*60-ROUND('Critérios e pesos'!$C$37*1440,0)-1)/(ROUND('Critérios e pesos'!$C$37*1440,0)-ROUND('Critérios e pesos'!$C$36*1440,0)))*(ROUND('Critérios e pesos'!$C$37*1440,0)-ROUND('Critérios e pesos'!$C$36*1440,0)))/1440))</f>
        <v/>
      </c>
      <c r="X74" s="16" t="n"/>
      <c r="Y74" s="14">
        <f>IF(W74="","",IF(X74="",IF(NOW()&gt;W74,"Atrasado","Em espera"),IF(X74&lt;=W74,"No prazo","Atrasado")))</f>
        <v/>
      </c>
      <c r="Z74" s="17" t="n"/>
      <c r="AA74" s="14">
        <f>IF($B74="","",IF(OR(T74="X",AD74&lt;&gt;""),0,MAX(0,MIN(Q74,'Critérios e pesos'!$C$38*INT((TODAY()-IF(Z74&lt;&gt;"",Z74,INT($A74)))/7)))))</f>
        <v/>
      </c>
      <c r="AB74" s="14">
        <f>IF($B74="","",MAX(0,S74-AA74))</f>
        <v/>
      </c>
      <c r="AC74" s="9">
        <f>IF($B74="","",IF(T74="X","X",IF(AB74&gt;='Critérios e pesos'!$C$29,"A",IF(AB74&gt;='Critérios e pesos'!$C$30,"B","C"))))</f>
        <v/>
      </c>
      <c r="AD74" s="4" t="n"/>
      <c r="AE74" s="18" t="n"/>
      <c r="AF74" s="6" t="n"/>
      <c r="AH74">
        <f>IF($A74="","",IF(OR(WEEKDAY($A74,2)&gt;5,ROUND(MOD($A74,1)*1440,0)&gt;=ROUND('Critérios e pesos'!$C$37*1440,0)),WORKDAY(INT($A74),1)+ROUND('Critérios e pesos'!$C$36*1440,0)/1440,IF(ROUND(MOD($A74,1)*1440,0)&lt;ROUND('Critérios e pesos'!$C$36*1440,0),INT($A74)+ROUND('Critérios e pesos'!$C$36*1440,0)/1440,$A74)))</f>
        <v/>
      </c>
      <c r="AI74">
        <f>IF(AH74="","",ROUND(MOD(AH74,1)*1440,0))</f>
        <v/>
      </c>
      <c r="AJ74">
        <f>IF(T74="","",INDEX('Critérios e pesos'!$E$29:$E$32,MATCH(T74,'Critérios e pesos'!$A$29:$A$32,0)))</f>
        <v/>
      </c>
    </row>
    <row r="75">
      <c r="A75" s="13" t="n"/>
      <c r="B75" s="6" t="n"/>
      <c r="C75" s="6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6" t="n"/>
      <c r="O75" s="6" t="n"/>
      <c r="P75" s="14">
        <f>IF($B75="","",(E75="Claro")*'Critérios e pesos'!$G$5+(E75="Em parte")*'Critérios e pesos'!$G$5/2+(F75="Claro")*'Critérios e pesos'!$G$6+(F75="Em parte")*'Critérios e pesos'!$G$6/2+(G75="Claro")*'Critérios e pesos'!$G$7+(G75="Em parte")*'Critérios e pesos'!$G$7/2+(H75="Claro")*'Critérios e pesos'!$G$8+(H75="Em parte")*'Critérios e pesos'!$G$8/2)</f>
        <v/>
      </c>
      <c r="Q75" s="14">
        <f>IF($B75="","",(I75="Claro")*'Critérios e pesos'!$G$9+(I75="Em parte")*'Critérios e pesos'!$G$9/2+(J75="Claro")*'Critérios e pesos'!$G$10+(J75="Em parte")*'Critérios e pesos'!$G$10/2+(K75="Claro")*'Critérios e pesos'!$G$11+(K75="Em parte")*'Critérios e pesos'!$G$11/2+(L75="Claro")*'Critérios e pesos'!$G$12+(L75="Em parte")*'Critérios e pesos'!$G$12/2+(M75="Claro")*'Critérios e pesos'!$G$13+(M75="Em parte")*'Critérios e pesos'!$G$13/2)</f>
        <v/>
      </c>
      <c r="R75" s="14">
        <f>IF($B75="","",IFERROR(VLOOKUP(N75,'Critérios e pesos'!$B$17:$C$20,2,FALSE),0))</f>
        <v/>
      </c>
      <c r="S75" s="9">
        <f>IF($B75="","",MAX(0,P75+Q75+R75))</f>
        <v/>
      </c>
      <c r="T75" s="9">
        <f>IF($B75="","",IF(O75&lt;&gt;"","X",IF(S75&gt;='Critérios e pesos'!$C$29,"A",IF(S75&gt;='Critérios e pesos'!$C$30,"B","C"))))</f>
        <v/>
      </c>
      <c r="U75" s="14">
        <f>IF(T75="","",INDEX('Critérios e pesos'!$D$29:$D$32,MATCH(T75,'Critérios e pesos'!$A$29:$A$32,0)))</f>
        <v/>
      </c>
      <c r="V75" s="14">
        <f>IF(T75="","",INDEX('Critérios e pesos'!$F$29:$F$32,MATCH(T75,'Critérios e pesos'!$A$29:$A$32,0)))</f>
        <v/>
      </c>
      <c r="W75" s="15">
        <f>IF(OR(AH75="",AJ75=""),"",IF(AI75+AJ75*60&lt;=ROUND('Critérios e pesos'!$C$37*1440,0),INT(AH75)+(AI75+AJ75*60)/1440,WORKDAY(INT(AH75),1+INT((AI75+AJ75*60-ROUND('Critérios e pesos'!$C$37*1440,0)-1)/(ROUND('Critérios e pesos'!$C$37*1440,0)-ROUND('Critérios e pesos'!$C$36*1440,0))))+(ROUND('Critérios e pesos'!$C$36*1440,0)+AI75+AJ75*60-ROUND('Critérios e pesos'!$C$37*1440,0)-INT((AI75+AJ75*60-ROUND('Critérios e pesos'!$C$37*1440,0)-1)/(ROUND('Critérios e pesos'!$C$37*1440,0)-ROUND('Critérios e pesos'!$C$36*1440,0)))*(ROUND('Critérios e pesos'!$C$37*1440,0)-ROUND('Critérios e pesos'!$C$36*1440,0)))/1440))</f>
        <v/>
      </c>
      <c r="X75" s="16" t="n"/>
      <c r="Y75" s="14">
        <f>IF(W75="","",IF(X75="",IF(NOW()&gt;W75,"Atrasado","Em espera"),IF(X75&lt;=W75,"No prazo","Atrasado")))</f>
        <v/>
      </c>
      <c r="Z75" s="17" t="n"/>
      <c r="AA75" s="14">
        <f>IF($B75="","",IF(OR(T75="X",AD75&lt;&gt;""),0,MAX(0,MIN(Q75,'Critérios e pesos'!$C$38*INT((TODAY()-IF(Z75&lt;&gt;"",Z75,INT($A75)))/7)))))</f>
        <v/>
      </c>
      <c r="AB75" s="14">
        <f>IF($B75="","",MAX(0,S75-AA75))</f>
        <v/>
      </c>
      <c r="AC75" s="9">
        <f>IF($B75="","",IF(T75="X","X",IF(AB75&gt;='Critérios e pesos'!$C$29,"A",IF(AB75&gt;='Critérios e pesos'!$C$30,"B","C"))))</f>
        <v/>
      </c>
      <c r="AD75" s="4" t="n"/>
      <c r="AE75" s="18" t="n"/>
      <c r="AF75" s="6" t="n"/>
      <c r="AH75">
        <f>IF($A75="","",IF(OR(WEEKDAY($A75,2)&gt;5,ROUND(MOD($A75,1)*1440,0)&gt;=ROUND('Critérios e pesos'!$C$37*1440,0)),WORKDAY(INT($A75),1)+ROUND('Critérios e pesos'!$C$36*1440,0)/1440,IF(ROUND(MOD($A75,1)*1440,0)&lt;ROUND('Critérios e pesos'!$C$36*1440,0),INT($A75)+ROUND('Critérios e pesos'!$C$36*1440,0)/1440,$A75)))</f>
        <v/>
      </c>
      <c r="AI75">
        <f>IF(AH75="","",ROUND(MOD(AH75,1)*1440,0))</f>
        <v/>
      </c>
      <c r="AJ75">
        <f>IF(T75="","",INDEX('Critérios e pesos'!$E$29:$E$32,MATCH(T75,'Critérios e pesos'!$A$29:$A$32,0)))</f>
        <v/>
      </c>
    </row>
    <row r="76">
      <c r="A76" s="13" t="n"/>
      <c r="B76" s="6" t="n"/>
      <c r="C76" s="6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6" t="n"/>
      <c r="O76" s="6" t="n"/>
      <c r="P76" s="14">
        <f>IF($B76="","",(E76="Claro")*'Critérios e pesos'!$G$5+(E76="Em parte")*'Critérios e pesos'!$G$5/2+(F76="Claro")*'Critérios e pesos'!$G$6+(F76="Em parte")*'Critérios e pesos'!$G$6/2+(G76="Claro")*'Critérios e pesos'!$G$7+(G76="Em parte")*'Critérios e pesos'!$G$7/2+(H76="Claro")*'Critérios e pesos'!$G$8+(H76="Em parte")*'Critérios e pesos'!$G$8/2)</f>
        <v/>
      </c>
      <c r="Q76" s="14">
        <f>IF($B76="","",(I76="Claro")*'Critérios e pesos'!$G$9+(I76="Em parte")*'Critérios e pesos'!$G$9/2+(J76="Claro")*'Critérios e pesos'!$G$10+(J76="Em parte")*'Critérios e pesos'!$G$10/2+(K76="Claro")*'Critérios e pesos'!$G$11+(K76="Em parte")*'Critérios e pesos'!$G$11/2+(L76="Claro")*'Critérios e pesos'!$G$12+(L76="Em parte")*'Critérios e pesos'!$G$12/2+(M76="Claro")*'Critérios e pesos'!$G$13+(M76="Em parte")*'Critérios e pesos'!$G$13/2)</f>
        <v/>
      </c>
      <c r="R76" s="14">
        <f>IF($B76="","",IFERROR(VLOOKUP(N76,'Critérios e pesos'!$B$17:$C$20,2,FALSE),0))</f>
        <v/>
      </c>
      <c r="S76" s="9">
        <f>IF($B76="","",MAX(0,P76+Q76+R76))</f>
        <v/>
      </c>
      <c r="T76" s="9">
        <f>IF($B76="","",IF(O76&lt;&gt;"","X",IF(S76&gt;='Critérios e pesos'!$C$29,"A",IF(S76&gt;='Critérios e pesos'!$C$30,"B","C"))))</f>
        <v/>
      </c>
      <c r="U76" s="14">
        <f>IF(T76="","",INDEX('Critérios e pesos'!$D$29:$D$32,MATCH(T76,'Critérios e pesos'!$A$29:$A$32,0)))</f>
        <v/>
      </c>
      <c r="V76" s="14">
        <f>IF(T76="","",INDEX('Critérios e pesos'!$F$29:$F$32,MATCH(T76,'Critérios e pesos'!$A$29:$A$32,0)))</f>
        <v/>
      </c>
      <c r="W76" s="15">
        <f>IF(OR(AH76="",AJ76=""),"",IF(AI76+AJ76*60&lt;=ROUND('Critérios e pesos'!$C$37*1440,0),INT(AH76)+(AI76+AJ76*60)/1440,WORKDAY(INT(AH76),1+INT((AI76+AJ76*60-ROUND('Critérios e pesos'!$C$37*1440,0)-1)/(ROUND('Critérios e pesos'!$C$37*1440,0)-ROUND('Critérios e pesos'!$C$36*1440,0))))+(ROUND('Critérios e pesos'!$C$36*1440,0)+AI76+AJ76*60-ROUND('Critérios e pesos'!$C$37*1440,0)-INT((AI76+AJ76*60-ROUND('Critérios e pesos'!$C$37*1440,0)-1)/(ROUND('Critérios e pesos'!$C$37*1440,0)-ROUND('Critérios e pesos'!$C$36*1440,0)))*(ROUND('Critérios e pesos'!$C$37*1440,0)-ROUND('Critérios e pesos'!$C$36*1440,0)))/1440))</f>
        <v/>
      </c>
      <c r="X76" s="16" t="n"/>
      <c r="Y76" s="14">
        <f>IF(W76="","",IF(X76="",IF(NOW()&gt;W76,"Atrasado","Em espera"),IF(X76&lt;=W76,"No prazo","Atrasado")))</f>
        <v/>
      </c>
      <c r="Z76" s="17" t="n"/>
      <c r="AA76" s="14">
        <f>IF($B76="","",IF(OR(T76="X",AD76&lt;&gt;""),0,MAX(0,MIN(Q76,'Critérios e pesos'!$C$38*INT((TODAY()-IF(Z76&lt;&gt;"",Z76,INT($A76)))/7)))))</f>
        <v/>
      </c>
      <c r="AB76" s="14">
        <f>IF($B76="","",MAX(0,S76-AA76))</f>
        <v/>
      </c>
      <c r="AC76" s="9">
        <f>IF($B76="","",IF(T76="X","X",IF(AB76&gt;='Critérios e pesos'!$C$29,"A",IF(AB76&gt;='Critérios e pesos'!$C$30,"B","C"))))</f>
        <v/>
      </c>
      <c r="AD76" s="4" t="n"/>
      <c r="AE76" s="18" t="n"/>
      <c r="AF76" s="6" t="n"/>
      <c r="AH76">
        <f>IF($A76="","",IF(OR(WEEKDAY($A76,2)&gt;5,ROUND(MOD($A76,1)*1440,0)&gt;=ROUND('Critérios e pesos'!$C$37*1440,0)),WORKDAY(INT($A76),1)+ROUND('Critérios e pesos'!$C$36*1440,0)/1440,IF(ROUND(MOD($A76,1)*1440,0)&lt;ROUND('Critérios e pesos'!$C$36*1440,0),INT($A76)+ROUND('Critérios e pesos'!$C$36*1440,0)/1440,$A76)))</f>
        <v/>
      </c>
      <c r="AI76">
        <f>IF(AH76="","",ROUND(MOD(AH76,1)*1440,0))</f>
        <v/>
      </c>
      <c r="AJ76">
        <f>IF(T76="","",INDEX('Critérios e pesos'!$E$29:$E$32,MATCH(T76,'Critérios e pesos'!$A$29:$A$32,0)))</f>
        <v/>
      </c>
    </row>
    <row r="77">
      <c r="A77" s="13" t="n"/>
      <c r="B77" s="6" t="n"/>
      <c r="C77" s="6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6" t="n"/>
      <c r="O77" s="6" t="n"/>
      <c r="P77" s="14">
        <f>IF($B77="","",(E77="Claro")*'Critérios e pesos'!$G$5+(E77="Em parte")*'Critérios e pesos'!$G$5/2+(F77="Claro")*'Critérios e pesos'!$G$6+(F77="Em parte")*'Critérios e pesos'!$G$6/2+(G77="Claro")*'Critérios e pesos'!$G$7+(G77="Em parte")*'Critérios e pesos'!$G$7/2+(H77="Claro")*'Critérios e pesos'!$G$8+(H77="Em parte")*'Critérios e pesos'!$G$8/2)</f>
        <v/>
      </c>
      <c r="Q77" s="14">
        <f>IF($B77="","",(I77="Claro")*'Critérios e pesos'!$G$9+(I77="Em parte")*'Critérios e pesos'!$G$9/2+(J77="Claro")*'Critérios e pesos'!$G$10+(J77="Em parte")*'Critérios e pesos'!$G$10/2+(K77="Claro")*'Critérios e pesos'!$G$11+(K77="Em parte")*'Critérios e pesos'!$G$11/2+(L77="Claro")*'Critérios e pesos'!$G$12+(L77="Em parte")*'Critérios e pesos'!$G$12/2+(M77="Claro")*'Critérios e pesos'!$G$13+(M77="Em parte")*'Critérios e pesos'!$G$13/2)</f>
        <v/>
      </c>
      <c r="R77" s="14">
        <f>IF($B77="","",IFERROR(VLOOKUP(N77,'Critérios e pesos'!$B$17:$C$20,2,FALSE),0))</f>
        <v/>
      </c>
      <c r="S77" s="9">
        <f>IF($B77="","",MAX(0,P77+Q77+R77))</f>
        <v/>
      </c>
      <c r="T77" s="9">
        <f>IF($B77="","",IF(O77&lt;&gt;"","X",IF(S77&gt;='Critérios e pesos'!$C$29,"A",IF(S77&gt;='Critérios e pesos'!$C$30,"B","C"))))</f>
        <v/>
      </c>
      <c r="U77" s="14">
        <f>IF(T77="","",INDEX('Critérios e pesos'!$D$29:$D$32,MATCH(T77,'Critérios e pesos'!$A$29:$A$32,0)))</f>
        <v/>
      </c>
      <c r="V77" s="14">
        <f>IF(T77="","",INDEX('Critérios e pesos'!$F$29:$F$32,MATCH(T77,'Critérios e pesos'!$A$29:$A$32,0)))</f>
        <v/>
      </c>
      <c r="W77" s="15">
        <f>IF(OR(AH77="",AJ77=""),"",IF(AI77+AJ77*60&lt;=ROUND('Critérios e pesos'!$C$37*1440,0),INT(AH77)+(AI77+AJ77*60)/1440,WORKDAY(INT(AH77),1+INT((AI77+AJ77*60-ROUND('Critérios e pesos'!$C$37*1440,0)-1)/(ROUND('Critérios e pesos'!$C$37*1440,0)-ROUND('Critérios e pesos'!$C$36*1440,0))))+(ROUND('Critérios e pesos'!$C$36*1440,0)+AI77+AJ77*60-ROUND('Critérios e pesos'!$C$37*1440,0)-INT((AI77+AJ77*60-ROUND('Critérios e pesos'!$C$37*1440,0)-1)/(ROUND('Critérios e pesos'!$C$37*1440,0)-ROUND('Critérios e pesos'!$C$36*1440,0)))*(ROUND('Critérios e pesos'!$C$37*1440,0)-ROUND('Critérios e pesos'!$C$36*1440,0)))/1440))</f>
        <v/>
      </c>
      <c r="X77" s="16" t="n"/>
      <c r="Y77" s="14">
        <f>IF(W77="","",IF(X77="",IF(NOW()&gt;W77,"Atrasado","Em espera"),IF(X77&lt;=W77,"No prazo","Atrasado")))</f>
        <v/>
      </c>
      <c r="Z77" s="17" t="n"/>
      <c r="AA77" s="14">
        <f>IF($B77="","",IF(OR(T77="X",AD77&lt;&gt;""),0,MAX(0,MIN(Q77,'Critérios e pesos'!$C$38*INT((TODAY()-IF(Z77&lt;&gt;"",Z77,INT($A77)))/7)))))</f>
        <v/>
      </c>
      <c r="AB77" s="14">
        <f>IF($B77="","",MAX(0,S77-AA77))</f>
        <v/>
      </c>
      <c r="AC77" s="9">
        <f>IF($B77="","",IF(T77="X","X",IF(AB77&gt;='Critérios e pesos'!$C$29,"A",IF(AB77&gt;='Critérios e pesos'!$C$30,"B","C"))))</f>
        <v/>
      </c>
      <c r="AD77" s="4" t="n"/>
      <c r="AE77" s="18" t="n"/>
      <c r="AF77" s="6" t="n"/>
      <c r="AH77">
        <f>IF($A77="","",IF(OR(WEEKDAY($A77,2)&gt;5,ROUND(MOD($A77,1)*1440,0)&gt;=ROUND('Critérios e pesos'!$C$37*1440,0)),WORKDAY(INT($A77),1)+ROUND('Critérios e pesos'!$C$36*1440,0)/1440,IF(ROUND(MOD($A77,1)*1440,0)&lt;ROUND('Critérios e pesos'!$C$36*1440,0),INT($A77)+ROUND('Critérios e pesos'!$C$36*1440,0)/1440,$A77)))</f>
        <v/>
      </c>
      <c r="AI77">
        <f>IF(AH77="","",ROUND(MOD(AH77,1)*1440,0))</f>
        <v/>
      </c>
      <c r="AJ77">
        <f>IF(T77="","",INDEX('Critérios e pesos'!$E$29:$E$32,MATCH(T77,'Critérios e pesos'!$A$29:$A$32,0)))</f>
        <v/>
      </c>
    </row>
    <row r="78">
      <c r="A78" s="13" t="n"/>
      <c r="B78" s="6" t="n"/>
      <c r="C78" s="6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6" t="n"/>
      <c r="O78" s="6" t="n"/>
      <c r="P78" s="14">
        <f>IF($B78="","",(E78="Claro")*'Critérios e pesos'!$G$5+(E78="Em parte")*'Critérios e pesos'!$G$5/2+(F78="Claro")*'Critérios e pesos'!$G$6+(F78="Em parte")*'Critérios e pesos'!$G$6/2+(G78="Claro")*'Critérios e pesos'!$G$7+(G78="Em parte")*'Critérios e pesos'!$G$7/2+(H78="Claro")*'Critérios e pesos'!$G$8+(H78="Em parte")*'Critérios e pesos'!$G$8/2)</f>
        <v/>
      </c>
      <c r="Q78" s="14">
        <f>IF($B78="","",(I78="Claro")*'Critérios e pesos'!$G$9+(I78="Em parte")*'Critérios e pesos'!$G$9/2+(J78="Claro")*'Critérios e pesos'!$G$10+(J78="Em parte")*'Critérios e pesos'!$G$10/2+(K78="Claro")*'Critérios e pesos'!$G$11+(K78="Em parte")*'Critérios e pesos'!$G$11/2+(L78="Claro")*'Critérios e pesos'!$G$12+(L78="Em parte")*'Critérios e pesos'!$G$12/2+(M78="Claro")*'Critérios e pesos'!$G$13+(M78="Em parte")*'Critérios e pesos'!$G$13/2)</f>
        <v/>
      </c>
      <c r="R78" s="14">
        <f>IF($B78="","",IFERROR(VLOOKUP(N78,'Critérios e pesos'!$B$17:$C$20,2,FALSE),0))</f>
        <v/>
      </c>
      <c r="S78" s="9">
        <f>IF($B78="","",MAX(0,P78+Q78+R78))</f>
        <v/>
      </c>
      <c r="T78" s="9">
        <f>IF($B78="","",IF(O78&lt;&gt;"","X",IF(S78&gt;='Critérios e pesos'!$C$29,"A",IF(S78&gt;='Critérios e pesos'!$C$30,"B","C"))))</f>
        <v/>
      </c>
      <c r="U78" s="14">
        <f>IF(T78="","",INDEX('Critérios e pesos'!$D$29:$D$32,MATCH(T78,'Critérios e pesos'!$A$29:$A$32,0)))</f>
        <v/>
      </c>
      <c r="V78" s="14">
        <f>IF(T78="","",INDEX('Critérios e pesos'!$F$29:$F$32,MATCH(T78,'Critérios e pesos'!$A$29:$A$32,0)))</f>
        <v/>
      </c>
      <c r="W78" s="15">
        <f>IF(OR(AH78="",AJ78=""),"",IF(AI78+AJ78*60&lt;=ROUND('Critérios e pesos'!$C$37*1440,0),INT(AH78)+(AI78+AJ78*60)/1440,WORKDAY(INT(AH78),1+INT((AI78+AJ78*60-ROUND('Critérios e pesos'!$C$37*1440,0)-1)/(ROUND('Critérios e pesos'!$C$37*1440,0)-ROUND('Critérios e pesos'!$C$36*1440,0))))+(ROUND('Critérios e pesos'!$C$36*1440,0)+AI78+AJ78*60-ROUND('Critérios e pesos'!$C$37*1440,0)-INT((AI78+AJ78*60-ROUND('Critérios e pesos'!$C$37*1440,0)-1)/(ROUND('Critérios e pesos'!$C$37*1440,0)-ROUND('Critérios e pesos'!$C$36*1440,0)))*(ROUND('Critérios e pesos'!$C$37*1440,0)-ROUND('Critérios e pesos'!$C$36*1440,0)))/1440))</f>
        <v/>
      </c>
      <c r="X78" s="16" t="n"/>
      <c r="Y78" s="14">
        <f>IF(W78="","",IF(X78="",IF(NOW()&gt;W78,"Atrasado","Em espera"),IF(X78&lt;=W78,"No prazo","Atrasado")))</f>
        <v/>
      </c>
      <c r="Z78" s="17" t="n"/>
      <c r="AA78" s="14">
        <f>IF($B78="","",IF(OR(T78="X",AD78&lt;&gt;""),0,MAX(0,MIN(Q78,'Critérios e pesos'!$C$38*INT((TODAY()-IF(Z78&lt;&gt;"",Z78,INT($A78)))/7)))))</f>
        <v/>
      </c>
      <c r="AB78" s="14">
        <f>IF($B78="","",MAX(0,S78-AA78))</f>
        <v/>
      </c>
      <c r="AC78" s="9">
        <f>IF($B78="","",IF(T78="X","X",IF(AB78&gt;='Critérios e pesos'!$C$29,"A",IF(AB78&gt;='Critérios e pesos'!$C$30,"B","C"))))</f>
        <v/>
      </c>
      <c r="AD78" s="4" t="n"/>
      <c r="AE78" s="18" t="n"/>
      <c r="AF78" s="6" t="n"/>
      <c r="AH78">
        <f>IF($A78="","",IF(OR(WEEKDAY($A78,2)&gt;5,ROUND(MOD($A78,1)*1440,0)&gt;=ROUND('Critérios e pesos'!$C$37*1440,0)),WORKDAY(INT($A78),1)+ROUND('Critérios e pesos'!$C$36*1440,0)/1440,IF(ROUND(MOD($A78,1)*1440,0)&lt;ROUND('Critérios e pesos'!$C$36*1440,0),INT($A78)+ROUND('Critérios e pesos'!$C$36*1440,0)/1440,$A78)))</f>
        <v/>
      </c>
      <c r="AI78">
        <f>IF(AH78="","",ROUND(MOD(AH78,1)*1440,0))</f>
        <v/>
      </c>
      <c r="AJ78">
        <f>IF(T78="","",INDEX('Critérios e pesos'!$E$29:$E$32,MATCH(T78,'Critérios e pesos'!$A$29:$A$32,0)))</f>
        <v/>
      </c>
    </row>
    <row r="79">
      <c r="A79" s="13" t="n"/>
      <c r="B79" s="6" t="n"/>
      <c r="C79" s="6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6" t="n"/>
      <c r="O79" s="6" t="n"/>
      <c r="P79" s="14">
        <f>IF($B79="","",(E79="Claro")*'Critérios e pesos'!$G$5+(E79="Em parte")*'Critérios e pesos'!$G$5/2+(F79="Claro")*'Critérios e pesos'!$G$6+(F79="Em parte")*'Critérios e pesos'!$G$6/2+(G79="Claro")*'Critérios e pesos'!$G$7+(G79="Em parte")*'Critérios e pesos'!$G$7/2+(H79="Claro")*'Critérios e pesos'!$G$8+(H79="Em parte")*'Critérios e pesos'!$G$8/2)</f>
        <v/>
      </c>
      <c r="Q79" s="14">
        <f>IF($B79="","",(I79="Claro")*'Critérios e pesos'!$G$9+(I79="Em parte")*'Critérios e pesos'!$G$9/2+(J79="Claro")*'Critérios e pesos'!$G$10+(J79="Em parte")*'Critérios e pesos'!$G$10/2+(K79="Claro")*'Critérios e pesos'!$G$11+(K79="Em parte")*'Critérios e pesos'!$G$11/2+(L79="Claro")*'Critérios e pesos'!$G$12+(L79="Em parte")*'Critérios e pesos'!$G$12/2+(M79="Claro")*'Critérios e pesos'!$G$13+(M79="Em parte")*'Critérios e pesos'!$G$13/2)</f>
        <v/>
      </c>
      <c r="R79" s="14">
        <f>IF($B79="","",IFERROR(VLOOKUP(N79,'Critérios e pesos'!$B$17:$C$20,2,FALSE),0))</f>
        <v/>
      </c>
      <c r="S79" s="9">
        <f>IF($B79="","",MAX(0,P79+Q79+R79))</f>
        <v/>
      </c>
      <c r="T79" s="9">
        <f>IF($B79="","",IF(O79&lt;&gt;"","X",IF(S79&gt;='Critérios e pesos'!$C$29,"A",IF(S79&gt;='Critérios e pesos'!$C$30,"B","C"))))</f>
        <v/>
      </c>
      <c r="U79" s="14">
        <f>IF(T79="","",INDEX('Critérios e pesos'!$D$29:$D$32,MATCH(T79,'Critérios e pesos'!$A$29:$A$32,0)))</f>
        <v/>
      </c>
      <c r="V79" s="14">
        <f>IF(T79="","",INDEX('Critérios e pesos'!$F$29:$F$32,MATCH(T79,'Critérios e pesos'!$A$29:$A$32,0)))</f>
        <v/>
      </c>
      <c r="W79" s="15">
        <f>IF(OR(AH79="",AJ79=""),"",IF(AI79+AJ79*60&lt;=ROUND('Critérios e pesos'!$C$37*1440,0),INT(AH79)+(AI79+AJ79*60)/1440,WORKDAY(INT(AH79),1+INT((AI79+AJ79*60-ROUND('Critérios e pesos'!$C$37*1440,0)-1)/(ROUND('Critérios e pesos'!$C$37*1440,0)-ROUND('Critérios e pesos'!$C$36*1440,0))))+(ROUND('Critérios e pesos'!$C$36*1440,0)+AI79+AJ79*60-ROUND('Critérios e pesos'!$C$37*1440,0)-INT((AI79+AJ79*60-ROUND('Critérios e pesos'!$C$37*1440,0)-1)/(ROUND('Critérios e pesos'!$C$37*1440,0)-ROUND('Critérios e pesos'!$C$36*1440,0)))*(ROUND('Critérios e pesos'!$C$37*1440,0)-ROUND('Critérios e pesos'!$C$36*1440,0)))/1440))</f>
        <v/>
      </c>
      <c r="X79" s="16" t="n"/>
      <c r="Y79" s="14">
        <f>IF(W79="","",IF(X79="",IF(NOW()&gt;W79,"Atrasado","Em espera"),IF(X79&lt;=W79,"No prazo","Atrasado")))</f>
        <v/>
      </c>
      <c r="Z79" s="17" t="n"/>
      <c r="AA79" s="14">
        <f>IF($B79="","",IF(OR(T79="X",AD79&lt;&gt;""),0,MAX(0,MIN(Q79,'Critérios e pesos'!$C$38*INT((TODAY()-IF(Z79&lt;&gt;"",Z79,INT($A79)))/7)))))</f>
        <v/>
      </c>
      <c r="AB79" s="14">
        <f>IF($B79="","",MAX(0,S79-AA79))</f>
        <v/>
      </c>
      <c r="AC79" s="9">
        <f>IF($B79="","",IF(T79="X","X",IF(AB79&gt;='Critérios e pesos'!$C$29,"A",IF(AB79&gt;='Critérios e pesos'!$C$30,"B","C"))))</f>
        <v/>
      </c>
      <c r="AD79" s="4" t="n"/>
      <c r="AE79" s="18" t="n"/>
      <c r="AF79" s="6" t="n"/>
      <c r="AH79">
        <f>IF($A79="","",IF(OR(WEEKDAY($A79,2)&gt;5,ROUND(MOD($A79,1)*1440,0)&gt;=ROUND('Critérios e pesos'!$C$37*1440,0)),WORKDAY(INT($A79),1)+ROUND('Critérios e pesos'!$C$36*1440,0)/1440,IF(ROUND(MOD($A79,1)*1440,0)&lt;ROUND('Critérios e pesos'!$C$36*1440,0),INT($A79)+ROUND('Critérios e pesos'!$C$36*1440,0)/1440,$A79)))</f>
        <v/>
      </c>
      <c r="AI79">
        <f>IF(AH79="","",ROUND(MOD(AH79,1)*1440,0))</f>
        <v/>
      </c>
      <c r="AJ79">
        <f>IF(T79="","",INDEX('Critérios e pesos'!$E$29:$E$32,MATCH(T79,'Critérios e pesos'!$A$29:$A$32,0)))</f>
        <v/>
      </c>
    </row>
    <row r="80">
      <c r="A80" s="13" t="n"/>
      <c r="B80" s="6" t="n"/>
      <c r="C80" s="6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6" t="n"/>
      <c r="O80" s="6" t="n"/>
      <c r="P80" s="14">
        <f>IF($B80="","",(E80="Claro")*'Critérios e pesos'!$G$5+(E80="Em parte")*'Critérios e pesos'!$G$5/2+(F80="Claro")*'Critérios e pesos'!$G$6+(F80="Em parte")*'Critérios e pesos'!$G$6/2+(G80="Claro")*'Critérios e pesos'!$G$7+(G80="Em parte")*'Critérios e pesos'!$G$7/2+(H80="Claro")*'Critérios e pesos'!$G$8+(H80="Em parte")*'Critérios e pesos'!$G$8/2)</f>
        <v/>
      </c>
      <c r="Q80" s="14">
        <f>IF($B80="","",(I80="Claro")*'Critérios e pesos'!$G$9+(I80="Em parte")*'Critérios e pesos'!$G$9/2+(J80="Claro")*'Critérios e pesos'!$G$10+(J80="Em parte")*'Critérios e pesos'!$G$10/2+(K80="Claro")*'Critérios e pesos'!$G$11+(K80="Em parte")*'Critérios e pesos'!$G$11/2+(L80="Claro")*'Critérios e pesos'!$G$12+(L80="Em parte")*'Critérios e pesos'!$G$12/2+(M80="Claro")*'Critérios e pesos'!$G$13+(M80="Em parte")*'Critérios e pesos'!$G$13/2)</f>
        <v/>
      </c>
      <c r="R80" s="14">
        <f>IF($B80="","",IFERROR(VLOOKUP(N80,'Critérios e pesos'!$B$17:$C$20,2,FALSE),0))</f>
        <v/>
      </c>
      <c r="S80" s="9">
        <f>IF($B80="","",MAX(0,P80+Q80+R80))</f>
        <v/>
      </c>
      <c r="T80" s="9">
        <f>IF($B80="","",IF(O80&lt;&gt;"","X",IF(S80&gt;='Critérios e pesos'!$C$29,"A",IF(S80&gt;='Critérios e pesos'!$C$30,"B","C"))))</f>
        <v/>
      </c>
      <c r="U80" s="14">
        <f>IF(T80="","",INDEX('Critérios e pesos'!$D$29:$D$32,MATCH(T80,'Critérios e pesos'!$A$29:$A$32,0)))</f>
        <v/>
      </c>
      <c r="V80" s="14">
        <f>IF(T80="","",INDEX('Critérios e pesos'!$F$29:$F$32,MATCH(T80,'Critérios e pesos'!$A$29:$A$32,0)))</f>
        <v/>
      </c>
      <c r="W80" s="15">
        <f>IF(OR(AH80="",AJ80=""),"",IF(AI80+AJ80*60&lt;=ROUND('Critérios e pesos'!$C$37*1440,0),INT(AH80)+(AI80+AJ80*60)/1440,WORKDAY(INT(AH80),1+INT((AI80+AJ80*60-ROUND('Critérios e pesos'!$C$37*1440,0)-1)/(ROUND('Critérios e pesos'!$C$37*1440,0)-ROUND('Critérios e pesos'!$C$36*1440,0))))+(ROUND('Critérios e pesos'!$C$36*1440,0)+AI80+AJ80*60-ROUND('Critérios e pesos'!$C$37*1440,0)-INT((AI80+AJ80*60-ROUND('Critérios e pesos'!$C$37*1440,0)-1)/(ROUND('Critérios e pesos'!$C$37*1440,0)-ROUND('Critérios e pesos'!$C$36*1440,0)))*(ROUND('Critérios e pesos'!$C$37*1440,0)-ROUND('Critérios e pesos'!$C$36*1440,0)))/1440))</f>
        <v/>
      </c>
      <c r="X80" s="16" t="n"/>
      <c r="Y80" s="14">
        <f>IF(W80="","",IF(X80="",IF(NOW()&gt;W80,"Atrasado","Em espera"),IF(X80&lt;=W80,"No prazo","Atrasado")))</f>
        <v/>
      </c>
      <c r="Z80" s="17" t="n"/>
      <c r="AA80" s="14">
        <f>IF($B80="","",IF(OR(T80="X",AD80&lt;&gt;""),0,MAX(0,MIN(Q80,'Critérios e pesos'!$C$38*INT((TODAY()-IF(Z80&lt;&gt;"",Z80,INT($A80)))/7)))))</f>
        <v/>
      </c>
      <c r="AB80" s="14">
        <f>IF($B80="","",MAX(0,S80-AA80))</f>
        <v/>
      </c>
      <c r="AC80" s="9">
        <f>IF($B80="","",IF(T80="X","X",IF(AB80&gt;='Critérios e pesos'!$C$29,"A",IF(AB80&gt;='Critérios e pesos'!$C$30,"B","C"))))</f>
        <v/>
      </c>
      <c r="AD80" s="4" t="n"/>
      <c r="AE80" s="18" t="n"/>
      <c r="AF80" s="6" t="n"/>
      <c r="AH80">
        <f>IF($A80="","",IF(OR(WEEKDAY($A80,2)&gt;5,ROUND(MOD($A80,1)*1440,0)&gt;=ROUND('Critérios e pesos'!$C$37*1440,0)),WORKDAY(INT($A80),1)+ROUND('Critérios e pesos'!$C$36*1440,0)/1440,IF(ROUND(MOD($A80,1)*1440,0)&lt;ROUND('Critérios e pesos'!$C$36*1440,0),INT($A80)+ROUND('Critérios e pesos'!$C$36*1440,0)/1440,$A80)))</f>
        <v/>
      </c>
      <c r="AI80">
        <f>IF(AH80="","",ROUND(MOD(AH80,1)*1440,0))</f>
        <v/>
      </c>
      <c r="AJ80">
        <f>IF(T80="","",INDEX('Critérios e pesos'!$E$29:$E$32,MATCH(T80,'Critérios e pesos'!$A$29:$A$32,0)))</f>
        <v/>
      </c>
    </row>
    <row r="81">
      <c r="A81" s="13" t="n"/>
      <c r="B81" s="6" t="n"/>
      <c r="C81" s="6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6" t="n"/>
      <c r="O81" s="6" t="n"/>
      <c r="P81" s="14">
        <f>IF($B81="","",(E81="Claro")*'Critérios e pesos'!$G$5+(E81="Em parte")*'Critérios e pesos'!$G$5/2+(F81="Claro")*'Critérios e pesos'!$G$6+(F81="Em parte")*'Critérios e pesos'!$G$6/2+(G81="Claro")*'Critérios e pesos'!$G$7+(G81="Em parte")*'Critérios e pesos'!$G$7/2+(H81="Claro")*'Critérios e pesos'!$G$8+(H81="Em parte")*'Critérios e pesos'!$G$8/2)</f>
        <v/>
      </c>
      <c r="Q81" s="14">
        <f>IF($B81="","",(I81="Claro")*'Critérios e pesos'!$G$9+(I81="Em parte")*'Critérios e pesos'!$G$9/2+(J81="Claro")*'Critérios e pesos'!$G$10+(J81="Em parte")*'Critérios e pesos'!$G$10/2+(K81="Claro")*'Critérios e pesos'!$G$11+(K81="Em parte")*'Critérios e pesos'!$G$11/2+(L81="Claro")*'Critérios e pesos'!$G$12+(L81="Em parte")*'Critérios e pesos'!$G$12/2+(M81="Claro")*'Critérios e pesos'!$G$13+(M81="Em parte")*'Critérios e pesos'!$G$13/2)</f>
        <v/>
      </c>
      <c r="R81" s="14">
        <f>IF($B81="","",IFERROR(VLOOKUP(N81,'Critérios e pesos'!$B$17:$C$20,2,FALSE),0))</f>
        <v/>
      </c>
      <c r="S81" s="9">
        <f>IF($B81="","",MAX(0,P81+Q81+R81))</f>
        <v/>
      </c>
      <c r="T81" s="9">
        <f>IF($B81="","",IF(O81&lt;&gt;"","X",IF(S81&gt;='Critérios e pesos'!$C$29,"A",IF(S81&gt;='Critérios e pesos'!$C$30,"B","C"))))</f>
        <v/>
      </c>
      <c r="U81" s="14">
        <f>IF(T81="","",INDEX('Critérios e pesos'!$D$29:$D$32,MATCH(T81,'Critérios e pesos'!$A$29:$A$32,0)))</f>
        <v/>
      </c>
      <c r="V81" s="14">
        <f>IF(T81="","",INDEX('Critérios e pesos'!$F$29:$F$32,MATCH(T81,'Critérios e pesos'!$A$29:$A$32,0)))</f>
        <v/>
      </c>
      <c r="W81" s="15">
        <f>IF(OR(AH81="",AJ81=""),"",IF(AI81+AJ81*60&lt;=ROUND('Critérios e pesos'!$C$37*1440,0),INT(AH81)+(AI81+AJ81*60)/1440,WORKDAY(INT(AH81),1+INT((AI81+AJ81*60-ROUND('Critérios e pesos'!$C$37*1440,0)-1)/(ROUND('Critérios e pesos'!$C$37*1440,0)-ROUND('Critérios e pesos'!$C$36*1440,0))))+(ROUND('Critérios e pesos'!$C$36*1440,0)+AI81+AJ81*60-ROUND('Critérios e pesos'!$C$37*1440,0)-INT((AI81+AJ81*60-ROUND('Critérios e pesos'!$C$37*1440,0)-1)/(ROUND('Critérios e pesos'!$C$37*1440,0)-ROUND('Critérios e pesos'!$C$36*1440,0)))*(ROUND('Critérios e pesos'!$C$37*1440,0)-ROUND('Critérios e pesos'!$C$36*1440,0)))/1440))</f>
        <v/>
      </c>
      <c r="X81" s="16" t="n"/>
      <c r="Y81" s="14">
        <f>IF(W81="","",IF(X81="",IF(NOW()&gt;W81,"Atrasado","Em espera"),IF(X81&lt;=W81,"No prazo","Atrasado")))</f>
        <v/>
      </c>
      <c r="Z81" s="17" t="n"/>
      <c r="AA81" s="14">
        <f>IF($B81="","",IF(OR(T81="X",AD81&lt;&gt;""),0,MAX(0,MIN(Q81,'Critérios e pesos'!$C$38*INT((TODAY()-IF(Z81&lt;&gt;"",Z81,INT($A81)))/7)))))</f>
        <v/>
      </c>
      <c r="AB81" s="14">
        <f>IF($B81="","",MAX(0,S81-AA81))</f>
        <v/>
      </c>
      <c r="AC81" s="9">
        <f>IF($B81="","",IF(T81="X","X",IF(AB81&gt;='Critérios e pesos'!$C$29,"A",IF(AB81&gt;='Critérios e pesos'!$C$30,"B","C"))))</f>
        <v/>
      </c>
      <c r="AD81" s="4" t="n"/>
      <c r="AE81" s="18" t="n"/>
      <c r="AF81" s="6" t="n"/>
      <c r="AH81">
        <f>IF($A81="","",IF(OR(WEEKDAY($A81,2)&gt;5,ROUND(MOD($A81,1)*1440,0)&gt;=ROUND('Critérios e pesos'!$C$37*1440,0)),WORKDAY(INT($A81),1)+ROUND('Critérios e pesos'!$C$36*1440,0)/1440,IF(ROUND(MOD($A81,1)*1440,0)&lt;ROUND('Critérios e pesos'!$C$36*1440,0),INT($A81)+ROUND('Critérios e pesos'!$C$36*1440,0)/1440,$A81)))</f>
        <v/>
      </c>
      <c r="AI81">
        <f>IF(AH81="","",ROUND(MOD(AH81,1)*1440,0))</f>
        <v/>
      </c>
      <c r="AJ81">
        <f>IF(T81="","",INDEX('Critérios e pesos'!$E$29:$E$32,MATCH(T81,'Critérios e pesos'!$A$29:$A$32,0)))</f>
        <v/>
      </c>
    </row>
    <row r="82">
      <c r="A82" s="13" t="n"/>
      <c r="B82" s="6" t="n"/>
      <c r="C82" s="6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6" t="n"/>
      <c r="O82" s="6" t="n"/>
      <c r="P82" s="14">
        <f>IF($B82="","",(E82="Claro")*'Critérios e pesos'!$G$5+(E82="Em parte")*'Critérios e pesos'!$G$5/2+(F82="Claro")*'Critérios e pesos'!$G$6+(F82="Em parte")*'Critérios e pesos'!$G$6/2+(G82="Claro")*'Critérios e pesos'!$G$7+(G82="Em parte")*'Critérios e pesos'!$G$7/2+(H82="Claro")*'Critérios e pesos'!$G$8+(H82="Em parte")*'Critérios e pesos'!$G$8/2)</f>
        <v/>
      </c>
      <c r="Q82" s="14">
        <f>IF($B82="","",(I82="Claro")*'Critérios e pesos'!$G$9+(I82="Em parte")*'Critérios e pesos'!$G$9/2+(J82="Claro")*'Critérios e pesos'!$G$10+(J82="Em parte")*'Critérios e pesos'!$G$10/2+(K82="Claro")*'Critérios e pesos'!$G$11+(K82="Em parte")*'Critérios e pesos'!$G$11/2+(L82="Claro")*'Critérios e pesos'!$G$12+(L82="Em parte")*'Critérios e pesos'!$G$12/2+(M82="Claro")*'Critérios e pesos'!$G$13+(M82="Em parte")*'Critérios e pesos'!$G$13/2)</f>
        <v/>
      </c>
      <c r="R82" s="14">
        <f>IF($B82="","",IFERROR(VLOOKUP(N82,'Critérios e pesos'!$B$17:$C$20,2,FALSE),0))</f>
        <v/>
      </c>
      <c r="S82" s="9">
        <f>IF($B82="","",MAX(0,P82+Q82+R82))</f>
        <v/>
      </c>
      <c r="T82" s="9">
        <f>IF($B82="","",IF(O82&lt;&gt;"","X",IF(S82&gt;='Critérios e pesos'!$C$29,"A",IF(S82&gt;='Critérios e pesos'!$C$30,"B","C"))))</f>
        <v/>
      </c>
      <c r="U82" s="14">
        <f>IF(T82="","",INDEX('Critérios e pesos'!$D$29:$D$32,MATCH(T82,'Critérios e pesos'!$A$29:$A$32,0)))</f>
        <v/>
      </c>
      <c r="V82" s="14">
        <f>IF(T82="","",INDEX('Critérios e pesos'!$F$29:$F$32,MATCH(T82,'Critérios e pesos'!$A$29:$A$32,0)))</f>
        <v/>
      </c>
      <c r="W82" s="15">
        <f>IF(OR(AH82="",AJ82=""),"",IF(AI82+AJ82*60&lt;=ROUND('Critérios e pesos'!$C$37*1440,0),INT(AH82)+(AI82+AJ82*60)/1440,WORKDAY(INT(AH82),1+INT((AI82+AJ82*60-ROUND('Critérios e pesos'!$C$37*1440,0)-1)/(ROUND('Critérios e pesos'!$C$37*1440,0)-ROUND('Critérios e pesos'!$C$36*1440,0))))+(ROUND('Critérios e pesos'!$C$36*1440,0)+AI82+AJ82*60-ROUND('Critérios e pesos'!$C$37*1440,0)-INT((AI82+AJ82*60-ROUND('Critérios e pesos'!$C$37*1440,0)-1)/(ROUND('Critérios e pesos'!$C$37*1440,0)-ROUND('Critérios e pesos'!$C$36*1440,0)))*(ROUND('Critérios e pesos'!$C$37*1440,0)-ROUND('Critérios e pesos'!$C$36*1440,0)))/1440))</f>
        <v/>
      </c>
      <c r="X82" s="16" t="n"/>
      <c r="Y82" s="14">
        <f>IF(W82="","",IF(X82="",IF(NOW()&gt;W82,"Atrasado","Em espera"),IF(X82&lt;=W82,"No prazo","Atrasado")))</f>
        <v/>
      </c>
      <c r="Z82" s="17" t="n"/>
      <c r="AA82" s="14">
        <f>IF($B82="","",IF(OR(T82="X",AD82&lt;&gt;""),0,MAX(0,MIN(Q82,'Critérios e pesos'!$C$38*INT((TODAY()-IF(Z82&lt;&gt;"",Z82,INT($A82)))/7)))))</f>
        <v/>
      </c>
      <c r="AB82" s="14">
        <f>IF($B82="","",MAX(0,S82-AA82))</f>
        <v/>
      </c>
      <c r="AC82" s="9">
        <f>IF($B82="","",IF(T82="X","X",IF(AB82&gt;='Critérios e pesos'!$C$29,"A",IF(AB82&gt;='Critérios e pesos'!$C$30,"B","C"))))</f>
        <v/>
      </c>
      <c r="AD82" s="4" t="n"/>
      <c r="AE82" s="18" t="n"/>
      <c r="AF82" s="6" t="n"/>
      <c r="AH82">
        <f>IF($A82="","",IF(OR(WEEKDAY($A82,2)&gt;5,ROUND(MOD($A82,1)*1440,0)&gt;=ROUND('Critérios e pesos'!$C$37*1440,0)),WORKDAY(INT($A82),1)+ROUND('Critérios e pesos'!$C$36*1440,0)/1440,IF(ROUND(MOD($A82,1)*1440,0)&lt;ROUND('Critérios e pesos'!$C$36*1440,0),INT($A82)+ROUND('Critérios e pesos'!$C$36*1440,0)/1440,$A82)))</f>
        <v/>
      </c>
      <c r="AI82">
        <f>IF(AH82="","",ROUND(MOD(AH82,1)*1440,0))</f>
        <v/>
      </c>
      <c r="AJ82">
        <f>IF(T82="","",INDEX('Critérios e pesos'!$E$29:$E$32,MATCH(T82,'Critérios e pesos'!$A$29:$A$32,0)))</f>
        <v/>
      </c>
    </row>
    <row r="83">
      <c r="A83" s="13" t="n"/>
      <c r="B83" s="6" t="n"/>
      <c r="C83" s="6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6" t="n"/>
      <c r="O83" s="6" t="n"/>
      <c r="P83" s="14">
        <f>IF($B83="","",(E83="Claro")*'Critérios e pesos'!$G$5+(E83="Em parte")*'Critérios e pesos'!$G$5/2+(F83="Claro")*'Critérios e pesos'!$G$6+(F83="Em parte")*'Critérios e pesos'!$G$6/2+(G83="Claro")*'Critérios e pesos'!$G$7+(G83="Em parte")*'Critérios e pesos'!$G$7/2+(H83="Claro")*'Critérios e pesos'!$G$8+(H83="Em parte")*'Critérios e pesos'!$G$8/2)</f>
        <v/>
      </c>
      <c r="Q83" s="14">
        <f>IF($B83="","",(I83="Claro")*'Critérios e pesos'!$G$9+(I83="Em parte")*'Critérios e pesos'!$G$9/2+(J83="Claro")*'Critérios e pesos'!$G$10+(J83="Em parte")*'Critérios e pesos'!$G$10/2+(K83="Claro")*'Critérios e pesos'!$G$11+(K83="Em parte")*'Critérios e pesos'!$G$11/2+(L83="Claro")*'Critérios e pesos'!$G$12+(L83="Em parte")*'Critérios e pesos'!$G$12/2+(M83="Claro")*'Critérios e pesos'!$G$13+(M83="Em parte")*'Critérios e pesos'!$G$13/2)</f>
        <v/>
      </c>
      <c r="R83" s="14">
        <f>IF($B83="","",IFERROR(VLOOKUP(N83,'Critérios e pesos'!$B$17:$C$20,2,FALSE),0))</f>
        <v/>
      </c>
      <c r="S83" s="9">
        <f>IF($B83="","",MAX(0,P83+Q83+R83))</f>
        <v/>
      </c>
      <c r="T83" s="9">
        <f>IF($B83="","",IF(O83&lt;&gt;"","X",IF(S83&gt;='Critérios e pesos'!$C$29,"A",IF(S83&gt;='Critérios e pesos'!$C$30,"B","C"))))</f>
        <v/>
      </c>
      <c r="U83" s="14">
        <f>IF(T83="","",INDEX('Critérios e pesos'!$D$29:$D$32,MATCH(T83,'Critérios e pesos'!$A$29:$A$32,0)))</f>
        <v/>
      </c>
      <c r="V83" s="14">
        <f>IF(T83="","",INDEX('Critérios e pesos'!$F$29:$F$32,MATCH(T83,'Critérios e pesos'!$A$29:$A$32,0)))</f>
        <v/>
      </c>
      <c r="W83" s="15">
        <f>IF(OR(AH83="",AJ83=""),"",IF(AI83+AJ83*60&lt;=ROUND('Critérios e pesos'!$C$37*1440,0),INT(AH83)+(AI83+AJ83*60)/1440,WORKDAY(INT(AH83),1+INT((AI83+AJ83*60-ROUND('Critérios e pesos'!$C$37*1440,0)-1)/(ROUND('Critérios e pesos'!$C$37*1440,0)-ROUND('Critérios e pesos'!$C$36*1440,0))))+(ROUND('Critérios e pesos'!$C$36*1440,0)+AI83+AJ83*60-ROUND('Critérios e pesos'!$C$37*1440,0)-INT((AI83+AJ83*60-ROUND('Critérios e pesos'!$C$37*1440,0)-1)/(ROUND('Critérios e pesos'!$C$37*1440,0)-ROUND('Critérios e pesos'!$C$36*1440,0)))*(ROUND('Critérios e pesos'!$C$37*1440,0)-ROUND('Critérios e pesos'!$C$36*1440,0)))/1440))</f>
        <v/>
      </c>
      <c r="X83" s="16" t="n"/>
      <c r="Y83" s="14">
        <f>IF(W83="","",IF(X83="",IF(NOW()&gt;W83,"Atrasado","Em espera"),IF(X83&lt;=W83,"No prazo","Atrasado")))</f>
        <v/>
      </c>
      <c r="Z83" s="17" t="n"/>
      <c r="AA83" s="14">
        <f>IF($B83="","",IF(OR(T83="X",AD83&lt;&gt;""),0,MAX(0,MIN(Q83,'Critérios e pesos'!$C$38*INT((TODAY()-IF(Z83&lt;&gt;"",Z83,INT($A83)))/7)))))</f>
        <v/>
      </c>
      <c r="AB83" s="14">
        <f>IF($B83="","",MAX(0,S83-AA83))</f>
        <v/>
      </c>
      <c r="AC83" s="9">
        <f>IF($B83="","",IF(T83="X","X",IF(AB83&gt;='Critérios e pesos'!$C$29,"A",IF(AB83&gt;='Critérios e pesos'!$C$30,"B","C"))))</f>
        <v/>
      </c>
      <c r="AD83" s="4" t="n"/>
      <c r="AE83" s="18" t="n"/>
      <c r="AF83" s="6" t="n"/>
      <c r="AH83">
        <f>IF($A83="","",IF(OR(WEEKDAY($A83,2)&gt;5,ROUND(MOD($A83,1)*1440,0)&gt;=ROUND('Critérios e pesos'!$C$37*1440,0)),WORKDAY(INT($A83),1)+ROUND('Critérios e pesos'!$C$36*1440,0)/1440,IF(ROUND(MOD($A83,1)*1440,0)&lt;ROUND('Critérios e pesos'!$C$36*1440,0),INT($A83)+ROUND('Critérios e pesos'!$C$36*1440,0)/1440,$A83)))</f>
        <v/>
      </c>
      <c r="AI83">
        <f>IF(AH83="","",ROUND(MOD(AH83,1)*1440,0))</f>
        <v/>
      </c>
      <c r="AJ83">
        <f>IF(T83="","",INDEX('Critérios e pesos'!$E$29:$E$32,MATCH(T83,'Critérios e pesos'!$A$29:$A$32,0)))</f>
        <v/>
      </c>
    </row>
    <row r="84">
      <c r="A84" s="13" t="n"/>
      <c r="B84" s="6" t="n"/>
      <c r="C84" s="6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6" t="n"/>
      <c r="O84" s="6" t="n"/>
      <c r="P84" s="14">
        <f>IF($B84="","",(E84="Claro")*'Critérios e pesos'!$G$5+(E84="Em parte")*'Critérios e pesos'!$G$5/2+(F84="Claro")*'Critérios e pesos'!$G$6+(F84="Em parte")*'Critérios e pesos'!$G$6/2+(G84="Claro")*'Critérios e pesos'!$G$7+(G84="Em parte")*'Critérios e pesos'!$G$7/2+(H84="Claro")*'Critérios e pesos'!$G$8+(H84="Em parte")*'Critérios e pesos'!$G$8/2)</f>
        <v/>
      </c>
      <c r="Q84" s="14">
        <f>IF($B84="","",(I84="Claro")*'Critérios e pesos'!$G$9+(I84="Em parte")*'Critérios e pesos'!$G$9/2+(J84="Claro")*'Critérios e pesos'!$G$10+(J84="Em parte")*'Critérios e pesos'!$G$10/2+(K84="Claro")*'Critérios e pesos'!$G$11+(K84="Em parte")*'Critérios e pesos'!$G$11/2+(L84="Claro")*'Critérios e pesos'!$G$12+(L84="Em parte")*'Critérios e pesos'!$G$12/2+(M84="Claro")*'Critérios e pesos'!$G$13+(M84="Em parte")*'Critérios e pesos'!$G$13/2)</f>
        <v/>
      </c>
      <c r="R84" s="14">
        <f>IF($B84="","",IFERROR(VLOOKUP(N84,'Critérios e pesos'!$B$17:$C$20,2,FALSE),0))</f>
        <v/>
      </c>
      <c r="S84" s="9">
        <f>IF($B84="","",MAX(0,P84+Q84+R84))</f>
        <v/>
      </c>
      <c r="T84" s="9">
        <f>IF($B84="","",IF(O84&lt;&gt;"","X",IF(S84&gt;='Critérios e pesos'!$C$29,"A",IF(S84&gt;='Critérios e pesos'!$C$30,"B","C"))))</f>
        <v/>
      </c>
      <c r="U84" s="14">
        <f>IF(T84="","",INDEX('Critérios e pesos'!$D$29:$D$32,MATCH(T84,'Critérios e pesos'!$A$29:$A$32,0)))</f>
        <v/>
      </c>
      <c r="V84" s="14">
        <f>IF(T84="","",INDEX('Critérios e pesos'!$F$29:$F$32,MATCH(T84,'Critérios e pesos'!$A$29:$A$32,0)))</f>
        <v/>
      </c>
      <c r="W84" s="15">
        <f>IF(OR(AH84="",AJ84=""),"",IF(AI84+AJ84*60&lt;=ROUND('Critérios e pesos'!$C$37*1440,0),INT(AH84)+(AI84+AJ84*60)/1440,WORKDAY(INT(AH84),1+INT((AI84+AJ84*60-ROUND('Critérios e pesos'!$C$37*1440,0)-1)/(ROUND('Critérios e pesos'!$C$37*1440,0)-ROUND('Critérios e pesos'!$C$36*1440,0))))+(ROUND('Critérios e pesos'!$C$36*1440,0)+AI84+AJ84*60-ROUND('Critérios e pesos'!$C$37*1440,0)-INT((AI84+AJ84*60-ROUND('Critérios e pesos'!$C$37*1440,0)-1)/(ROUND('Critérios e pesos'!$C$37*1440,0)-ROUND('Critérios e pesos'!$C$36*1440,0)))*(ROUND('Critérios e pesos'!$C$37*1440,0)-ROUND('Critérios e pesos'!$C$36*1440,0)))/1440))</f>
        <v/>
      </c>
      <c r="X84" s="16" t="n"/>
      <c r="Y84" s="14">
        <f>IF(W84="","",IF(X84="",IF(NOW()&gt;W84,"Atrasado","Em espera"),IF(X84&lt;=W84,"No prazo","Atrasado")))</f>
        <v/>
      </c>
      <c r="Z84" s="17" t="n"/>
      <c r="AA84" s="14">
        <f>IF($B84="","",IF(OR(T84="X",AD84&lt;&gt;""),0,MAX(0,MIN(Q84,'Critérios e pesos'!$C$38*INT((TODAY()-IF(Z84&lt;&gt;"",Z84,INT($A84)))/7)))))</f>
        <v/>
      </c>
      <c r="AB84" s="14">
        <f>IF($B84="","",MAX(0,S84-AA84))</f>
        <v/>
      </c>
      <c r="AC84" s="9">
        <f>IF($B84="","",IF(T84="X","X",IF(AB84&gt;='Critérios e pesos'!$C$29,"A",IF(AB84&gt;='Critérios e pesos'!$C$30,"B","C"))))</f>
        <v/>
      </c>
      <c r="AD84" s="4" t="n"/>
      <c r="AE84" s="18" t="n"/>
      <c r="AF84" s="6" t="n"/>
      <c r="AH84">
        <f>IF($A84="","",IF(OR(WEEKDAY($A84,2)&gt;5,ROUND(MOD($A84,1)*1440,0)&gt;=ROUND('Critérios e pesos'!$C$37*1440,0)),WORKDAY(INT($A84),1)+ROUND('Critérios e pesos'!$C$36*1440,0)/1440,IF(ROUND(MOD($A84,1)*1440,0)&lt;ROUND('Critérios e pesos'!$C$36*1440,0),INT($A84)+ROUND('Critérios e pesos'!$C$36*1440,0)/1440,$A84)))</f>
        <v/>
      </c>
      <c r="AI84">
        <f>IF(AH84="","",ROUND(MOD(AH84,1)*1440,0))</f>
        <v/>
      </c>
      <c r="AJ84">
        <f>IF(T84="","",INDEX('Critérios e pesos'!$E$29:$E$32,MATCH(T84,'Critérios e pesos'!$A$29:$A$32,0)))</f>
        <v/>
      </c>
    </row>
    <row r="85">
      <c r="A85" s="13" t="n"/>
      <c r="B85" s="6" t="n"/>
      <c r="C85" s="6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6" t="n"/>
      <c r="O85" s="6" t="n"/>
      <c r="P85" s="14">
        <f>IF($B85="","",(E85="Claro")*'Critérios e pesos'!$G$5+(E85="Em parte")*'Critérios e pesos'!$G$5/2+(F85="Claro")*'Critérios e pesos'!$G$6+(F85="Em parte")*'Critérios e pesos'!$G$6/2+(G85="Claro")*'Critérios e pesos'!$G$7+(G85="Em parte")*'Critérios e pesos'!$G$7/2+(H85="Claro")*'Critérios e pesos'!$G$8+(H85="Em parte")*'Critérios e pesos'!$G$8/2)</f>
        <v/>
      </c>
      <c r="Q85" s="14">
        <f>IF($B85="","",(I85="Claro")*'Critérios e pesos'!$G$9+(I85="Em parte")*'Critérios e pesos'!$G$9/2+(J85="Claro")*'Critérios e pesos'!$G$10+(J85="Em parte")*'Critérios e pesos'!$G$10/2+(K85="Claro")*'Critérios e pesos'!$G$11+(K85="Em parte")*'Critérios e pesos'!$G$11/2+(L85="Claro")*'Critérios e pesos'!$G$12+(L85="Em parte")*'Critérios e pesos'!$G$12/2+(M85="Claro")*'Critérios e pesos'!$G$13+(M85="Em parte")*'Critérios e pesos'!$G$13/2)</f>
        <v/>
      </c>
      <c r="R85" s="14">
        <f>IF($B85="","",IFERROR(VLOOKUP(N85,'Critérios e pesos'!$B$17:$C$20,2,FALSE),0))</f>
        <v/>
      </c>
      <c r="S85" s="9">
        <f>IF($B85="","",MAX(0,P85+Q85+R85))</f>
        <v/>
      </c>
      <c r="T85" s="9">
        <f>IF($B85="","",IF(O85&lt;&gt;"","X",IF(S85&gt;='Critérios e pesos'!$C$29,"A",IF(S85&gt;='Critérios e pesos'!$C$30,"B","C"))))</f>
        <v/>
      </c>
      <c r="U85" s="14">
        <f>IF(T85="","",INDEX('Critérios e pesos'!$D$29:$D$32,MATCH(T85,'Critérios e pesos'!$A$29:$A$32,0)))</f>
        <v/>
      </c>
      <c r="V85" s="14">
        <f>IF(T85="","",INDEX('Critérios e pesos'!$F$29:$F$32,MATCH(T85,'Critérios e pesos'!$A$29:$A$32,0)))</f>
        <v/>
      </c>
      <c r="W85" s="15">
        <f>IF(OR(AH85="",AJ85=""),"",IF(AI85+AJ85*60&lt;=ROUND('Critérios e pesos'!$C$37*1440,0),INT(AH85)+(AI85+AJ85*60)/1440,WORKDAY(INT(AH85),1+INT((AI85+AJ85*60-ROUND('Critérios e pesos'!$C$37*1440,0)-1)/(ROUND('Critérios e pesos'!$C$37*1440,0)-ROUND('Critérios e pesos'!$C$36*1440,0))))+(ROUND('Critérios e pesos'!$C$36*1440,0)+AI85+AJ85*60-ROUND('Critérios e pesos'!$C$37*1440,0)-INT((AI85+AJ85*60-ROUND('Critérios e pesos'!$C$37*1440,0)-1)/(ROUND('Critérios e pesos'!$C$37*1440,0)-ROUND('Critérios e pesos'!$C$36*1440,0)))*(ROUND('Critérios e pesos'!$C$37*1440,0)-ROUND('Critérios e pesos'!$C$36*1440,0)))/1440))</f>
        <v/>
      </c>
      <c r="X85" s="16" t="n"/>
      <c r="Y85" s="14">
        <f>IF(W85="","",IF(X85="",IF(NOW()&gt;W85,"Atrasado","Em espera"),IF(X85&lt;=W85,"No prazo","Atrasado")))</f>
        <v/>
      </c>
      <c r="Z85" s="17" t="n"/>
      <c r="AA85" s="14">
        <f>IF($B85="","",IF(OR(T85="X",AD85&lt;&gt;""),0,MAX(0,MIN(Q85,'Critérios e pesos'!$C$38*INT((TODAY()-IF(Z85&lt;&gt;"",Z85,INT($A85)))/7)))))</f>
        <v/>
      </c>
      <c r="AB85" s="14">
        <f>IF($B85="","",MAX(0,S85-AA85))</f>
        <v/>
      </c>
      <c r="AC85" s="9">
        <f>IF($B85="","",IF(T85="X","X",IF(AB85&gt;='Critérios e pesos'!$C$29,"A",IF(AB85&gt;='Critérios e pesos'!$C$30,"B","C"))))</f>
        <v/>
      </c>
      <c r="AD85" s="4" t="n"/>
      <c r="AE85" s="18" t="n"/>
      <c r="AF85" s="6" t="n"/>
      <c r="AH85">
        <f>IF($A85="","",IF(OR(WEEKDAY($A85,2)&gt;5,ROUND(MOD($A85,1)*1440,0)&gt;=ROUND('Critérios e pesos'!$C$37*1440,0)),WORKDAY(INT($A85),1)+ROUND('Critérios e pesos'!$C$36*1440,0)/1440,IF(ROUND(MOD($A85,1)*1440,0)&lt;ROUND('Critérios e pesos'!$C$36*1440,0),INT($A85)+ROUND('Critérios e pesos'!$C$36*1440,0)/1440,$A85)))</f>
        <v/>
      </c>
      <c r="AI85">
        <f>IF(AH85="","",ROUND(MOD(AH85,1)*1440,0))</f>
        <v/>
      </c>
      <c r="AJ85">
        <f>IF(T85="","",INDEX('Critérios e pesos'!$E$29:$E$32,MATCH(T85,'Critérios e pesos'!$A$29:$A$32,0)))</f>
        <v/>
      </c>
    </row>
    <row r="86">
      <c r="A86" s="13" t="n"/>
      <c r="B86" s="6" t="n"/>
      <c r="C86" s="6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6" t="n"/>
      <c r="O86" s="6" t="n"/>
      <c r="P86" s="14">
        <f>IF($B86="","",(E86="Claro")*'Critérios e pesos'!$G$5+(E86="Em parte")*'Critérios e pesos'!$G$5/2+(F86="Claro")*'Critérios e pesos'!$G$6+(F86="Em parte")*'Critérios e pesos'!$G$6/2+(G86="Claro")*'Critérios e pesos'!$G$7+(G86="Em parte")*'Critérios e pesos'!$G$7/2+(H86="Claro")*'Critérios e pesos'!$G$8+(H86="Em parte")*'Critérios e pesos'!$G$8/2)</f>
        <v/>
      </c>
      <c r="Q86" s="14">
        <f>IF($B86="","",(I86="Claro")*'Critérios e pesos'!$G$9+(I86="Em parte")*'Critérios e pesos'!$G$9/2+(J86="Claro")*'Critérios e pesos'!$G$10+(J86="Em parte")*'Critérios e pesos'!$G$10/2+(K86="Claro")*'Critérios e pesos'!$G$11+(K86="Em parte")*'Critérios e pesos'!$G$11/2+(L86="Claro")*'Critérios e pesos'!$G$12+(L86="Em parte")*'Critérios e pesos'!$G$12/2+(M86="Claro")*'Critérios e pesos'!$G$13+(M86="Em parte")*'Critérios e pesos'!$G$13/2)</f>
        <v/>
      </c>
      <c r="R86" s="14">
        <f>IF($B86="","",IFERROR(VLOOKUP(N86,'Critérios e pesos'!$B$17:$C$20,2,FALSE),0))</f>
        <v/>
      </c>
      <c r="S86" s="9">
        <f>IF($B86="","",MAX(0,P86+Q86+R86))</f>
        <v/>
      </c>
      <c r="T86" s="9">
        <f>IF($B86="","",IF(O86&lt;&gt;"","X",IF(S86&gt;='Critérios e pesos'!$C$29,"A",IF(S86&gt;='Critérios e pesos'!$C$30,"B","C"))))</f>
        <v/>
      </c>
      <c r="U86" s="14">
        <f>IF(T86="","",INDEX('Critérios e pesos'!$D$29:$D$32,MATCH(T86,'Critérios e pesos'!$A$29:$A$32,0)))</f>
        <v/>
      </c>
      <c r="V86" s="14">
        <f>IF(T86="","",INDEX('Critérios e pesos'!$F$29:$F$32,MATCH(T86,'Critérios e pesos'!$A$29:$A$32,0)))</f>
        <v/>
      </c>
      <c r="W86" s="15">
        <f>IF(OR(AH86="",AJ86=""),"",IF(AI86+AJ86*60&lt;=ROUND('Critérios e pesos'!$C$37*1440,0),INT(AH86)+(AI86+AJ86*60)/1440,WORKDAY(INT(AH86),1+INT((AI86+AJ86*60-ROUND('Critérios e pesos'!$C$37*1440,0)-1)/(ROUND('Critérios e pesos'!$C$37*1440,0)-ROUND('Critérios e pesos'!$C$36*1440,0))))+(ROUND('Critérios e pesos'!$C$36*1440,0)+AI86+AJ86*60-ROUND('Critérios e pesos'!$C$37*1440,0)-INT((AI86+AJ86*60-ROUND('Critérios e pesos'!$C$37*1440,0)-1)/(ROUND('Critérios e pesos'!$C$37*1440,0)-ROUND('Critérios e pesos'!$C$36*1440,0)))*(ROUND('Critérios e pesos'!$C$37*1440,0)-ROUND('Critérios e pesos'!$C$36*1440,0)))/1440))</f>
        <v/>
      </c>
      <c r="X86" s="16" t="n"/>
      <c r="Y86" s="14">
        <f>IF(W86="","",IF(X86="",IF(NOW()&gt;W86,"Atrasado","Em espera"),IF(X86&lt;=W86,"No prazo","Atrasado")))</f>
        <v/>
      </c>
      <c r="Z86" s="17" t="n"/>
      <c r="AA86" s="14">
        <f>IF($B86="","",IF(OR(T86="X",AD86&lt;&gt;""),0,MAX(0,MIN(Q86,'Critérios e pesos'!$C$38*INT((TODAY()-IF(Z86&lt;&gt;"",Z86,INT($A86)))/7)))))</f>
        <v/>
      </c>
      <c r="AB86" s="14">
        <f>IF($B86="","",MAX(0,S86-AA86))</f>
        <v/>
      </c>
      <c r="AC86" s="9">
        <f>IF($B86="","",IF(T86="X","X",IF(AB86&gt;='Critérios e pesos'!$C$29,"A",IF(AB86&gt;='Critérios e pesos'!$C$30,"B","C"))))</f>
        <v/>
      </c>
      <c r="AD86" s="4" t="n"/>
      <c r="AE86" s="18" t="n"/>
      <c r="AF86" s="6" t="n"/>
      <c r="AH86">
        <f>IF($A86="","",IF(OR(WEEKDAY($A86,2)&gt;5,ROUND(MOD($A86,1)*1440,0)&gt;=ROUND('Critérios e pesos'!$C$37*1440,0)),WORKDAY(INT($A86),1)+ROUND('Critérios e pesos'!$C$36*1440,0)/1440,IF(ROUND(MOD($A86,1)*1440,0)&lt;ROUND('Critérios e pesos'!$C$36*1440,0),INT($A86)+ROUND('Critérios e pesos'!$C$36*1440,0)/1440,$A86)))</f>
        <v/>
      </c>
      <c r="AI86">
        <f>IF(AH86="","",ROUND(MOD(AH86,1)*1440,0))</f>
        <v/>
      </c>
      <c r="AJ86">
        <f>IF(T86="","",INDEX('Critérios e pesos'!$E$29:$E$32,MATCH(T86,'Critérios e pesos'!$A$29:$A$32,0)))</f>
        <v/>
      </c>
    </row>
    <row r="87">
      <c r="A87" s="13" t="n"/>
      <c r="B87" s="6" t="n"/>
      <c r="C87" s="6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6" t="n"/>
      <c r="O87" s="6" t="n"/>
      <c r="P87" s="14">
        <f>IF($B87="","",(E87="Claro")*'Critérios e pesos'!$G$5+(E87="Em parte")*'Critérios e pesos'!$G$5/2+(F87="Claro")*'Critérios e pesos'!$G$6+(F87="Em parte")*'Critérios e pesos'!$G$6/2+(G87="Claro")*'Critérios e pesos'!$G$7+(G87="Em parte")*'Critérios e pesos'!$G$7/2+(H87="Claro")*'Critérios e pesos'!$G$8+(H87="Em parte")*'Critérios e pesos'!$G$8/2)</f>
        <v/>
      </c>
      <c r="Q87" s="14">
        <f>IF($B87="","",(I87="Claro")*'Critérios e pesos'!$G$9+(I87="Em parte")*'Critérios e pesos'!$G$9/2+(J87="Claro")*'Critérios e pesos'!$G$10+(J87="Em parte")*'Critérios e pesos'!$G$10/2+(K87="Claro")*'Critérios e pesos'!$G$11+(K87="Em parte")*'Critérios e pesos'!$G$11/2+(L87="Claro")*'Critérios e pesos'!$G$12+(L87="Em parte")*'Critérios e pesos'!$G$12/2+(M87="Claro")*'Critérios e pesos'!$G$13+(M87="Em parte")*'Critérios e pesos'!$G$13/2)</f>
        <v/>
      </c>
      <c r="R87" s="14">
        <f>IF($B87="","",IFERROR(VLOOKUP(N87,'Critérios e pesos'!$B$17:$C$20,2,FALSE),0))</f>
        <v/>
      </c>
      <c r="S87" s="9">
        <f>IF($B87="","",MAX(0,P87+Q87+R87))</f>
        <v/>
      </c>
      <c r="T87" s="9">
        <f>IF($B87="","",IF(O87&lt;&gt;"","X",IF(S87&gt;='Critérios e pesos'!$C$29,"A",IF(S87&gt;='Critérios e pesos'!$C$30,"B","C"))))</f>
        <v/>
      </c>
      <c r="U87" s="14">
        <f>IF(T87="","",INDEX('Critérios e pesos'!$D$29:$D$32,MATCH(T87,'Critérios e pesos'!$A$29:$A$32,0)))</f>
        <v/>
      </c>
      <c r="V87" s="14">
        <f>IF(T87="","",INDEX('Critérios e pesos'!$F$29:$F$32,MATCH(T87,'Critérios e pesos'!$A$29:$A$32,0)))</f>
        <v/>
      </c>
      <c r="W87" s="15">
        <f>IF(OR(AH87="",AJ87=""),"",IF(AI87+AJ87*60&lt;=ROUND('Critérios e pesos'!$C$37*1440,0),INT(AH87)+(AI87+AJ87*60)/1440,WORKDAY(INT(AH87),1+INT((AI87+AJ87*60-ROUND('Critérios e pesos'!$C$37*1440,0)-1)/(ROUND('Critérios e pesos'!$C$37*1440,0)-ROUND('Critérios e pesos'!$C$36*1440,0))))+(ROUND('Critérios e pesos'!$C$36*1440,0)+AI87+AJ87*60-ROUND('Critérios e pesos'!$C$37*1440,0)-INT((AI87+AJ87*60-ROUND('Critérios e pesos'!$C$37*1440,0)-1)/(ROUND('Critérios e pesos'!$C$37*1440,0)-ROUND('Critérios e pesos'!$C$36*1440,0)))*(ROUND('Critérios e pesos'!$C$37*1440,0)-ROUND('Critérios e pesos'!$C$36*1440,0)))/1440))</f>
        <v/>
      </c>
      <c r="X87" s="16" t="n"/>
      <c r="Y87" s="14">
        <f>IF(W87="","",IF(X87="",IF(NOW()&gt;W87,"Atrasado","Em espera"),IF(X87&lt;=W87,"No prazo","Atrasado")))</f>
        <v/>
      </c>
      <c r="Z87" s="17" t="n"/>
      <c r="AA87" s="14">
        <f>IF($B87="","",IF(OR(T87="X",AD87&lt;&gt;""),0,MAX(0,MIN(Q87,'Critérios e pesos'!$C$38*INT((TODAY()-IF(Z87&lt;&gt;"",Z87,INT($A87)))/7)))))</f>
        <v/>
      </c>
      <c r="AB87" s="14">
        <f>IF($B87="","",MAX(0,S87-AA87))</f>
        <v/>
      </c>
      <c r="AC87" s="9">
        <f>IF($B87="","",IF(T87="X","X",IF(AB87&gt;='Critérios e pesos'!$C$29,"A",IF(AB87&gt;='Critérios e pesos'!$C$30,"B","C"))))</f>
        <v/>
      </c>
      <c r="AD87" s="4" t="n"/>
      <c r="AE87" s="18" t="n"/>
      <c r="AF87" s="6" t="n"/>
      <c r="AH87">
        <f>IF($A87="","",IF(OR(WEEKDAY($A87,2)&gt;5,ROUND(MOD($A87,1)*1440,0)&gt;=ROUND('Critérios e pesos'!$C$37*1440,0)),WORKDAY(INT($A87),1)+ROUND('Critérios e pesos'!$C$36*1440,0)/1440,IF(ROUND(MOD($A87,1)*1440,0)&lt;ROUND('Critérios e pesos'!$C$36*1440,0),INT($A87)+ROUND('Critérios e pesos'!$C$36*1440,0)/1440,$A87)))</f>
        <v/>
      </c>
      <c r="AI87">
        <f>IF(AH87="","",ROUND(MOD(AH87,1)*1440,0))</f>
        <v/>
      </c>
      <c r="AJ87">
        <f>IF(T87="","",INDEX('Critérios e pesos'!$E$29:$E$32,MATCH(T87,'Critérios e pesos'!$A$29:$A$32,0)))</f>
        <v/>
      </c>
    </row>
    <row r="88">
      <c r="A88" s="13" t="n"/>
      <c r="B88" s="6" t="n"/>
      <c r="C88" s="6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6" t="n"/>
      <c r="O88" s="6" t="n"/>
      <c r="P88" s="14">
        <f>IF($B88="","",(E88="Claro")*'Critérios e pesos'!$G$5+(E88="Em parte")*'Critérios e pesos'!$G$5/2+(F88="Claro")*'Critérios e pesos'!$G$6+(F88="Em parte")*'Critérios e pesos'!$G$6/2+(G88="Claro")*'Critérios e pesos'!$G$7+(G88="Em parte")*'Critérios e pesos'!$G$7/2+(H88="Claro")*'Critérios e pesos'!$G$8+(H88="Em parte")*'Critérios e pesos'!$G$8/2)</f>
        <v/>
      </c>
      <c r="Q88" s="14">
        <f>IF($B88="","",(I88="Claro")*'Critérios e pesos'!$G$9+(I88="Em parte")*'Critérios e pesos'!$G$9/2+(J88="Claro")*'Critérios e pesos'!$G$10+(J88="Em parte")*'Critérios e pesos'!$G$10/2+(K88="Claro")*'Critérios e pesos'!$G$11+(K88="Em parte")*'Critérios e pesos'!$G$11/2+(L88="Claro")*'Critérios e pesos'!$G$12+(L88="Em parte")*'Critérios e pesos'!$G$12/2+(M88="Claro")*'Critérios e pesos'!$G$13+(M88="Em parte")*'Critérios e pesos'!$G$13/2)</f>
        <v/>
      </c>
      <c r="R88" s="14">
        <f>IF($B88="","",IFERROR(VLOOKUP(N88,'Critérios e pesos'!$B$17:$C$20,2,FALSE),0))</f>
        <v/>
      </c>
      <c r="S88" s="9">
        <f>IF($B88="","",MAX(0,P88+Q88+R88))</f>
        <v/>
      </c>
      <c r="T88" s="9">
        <f>IF($B88="","",IF(O88&lt;&gt;"","X",IF(S88&gt;='Critérios e pesos'!$C$29,"A",IF(S88&gt;='Critérios e pesos'!$C$30,"B","C"))))</f>
        <v/>
      </c>
      <c r="U88" s="14">
        <f>IF(T88="","",INDEX('Critérios e pesos'!$D$29:$D$32,MATCH(T88,'Critérios e pesos'!$A$29:$A$32,0)))</f>
        <v/>
      </c>
      <c r="V88" s="14">
        <f>IF(T88="","",INDEX('Critérios e pesos'!$F$29:$F$32,MATCH(T88,'Critérios e pesos'!$A$29:$A$32,0)))</f>
        <v/>
      </c>
      <c r="W88" s="15">
        <f>IF(OR(AH88="",AJ88=""),"",IF(AI88+AJ88*60&lt;=ROUND('Critérios e pesos'!$C$37*1440,0),INT(AH88)+(AI88+AJ88*60)/1440,WORKDAY(INT(AH88),1+INT((AI88+AJ88*60-ROUND('Critérios e pesos'!$C$37*1440,0)-1)/(ROUND('Critérios e pesos'!$C$37*1440,0)-ROUND('Critérios e pesos'!$C$36*1440,0))))+(ROUND('Critérios e pesos'!$C$36*1440,0)+AI88+AJ88*60-ROUND('Critérios e pesos'!$C$37*1440,0)-INT((AI88+AJ88*60-ROUND('Critérios e pesos'!$C$37*1440,0)-1)/(ROUND('Critérios e pesos'!$C$37*1440,0)-ROUND('Critérios e pesos'!$C$36*1440,0)))*(ROUND('Critérios e pesos'!$C$37*1440,0)-ROUND('Critérios e pesos'!$C$36*1440,0)))/1440))</f>
        <v/>
      </c>
      <c r="X88" s="16" t="n"/>
      <c r="Y88" s="14">
        <f>IF(W88="","",IF(X88="",IF(NOW()&gt;W88,"Atrasado","Em espera"),IF(X88&lt;=W88,"No prazo","Atrasado")))</f>
        <v/>
      </c>
      <c r="Z88" s="17" t="n"/>
      <c r="AA88" s="14">
        <f>IF($B88="","",IF(OR(T88="X",AD88&lt;&gt;""),0,MAX(0,MIN(Q88,'Critérios e pesos'!$C$38*INT((TODAY()-IF(Z88&lt;&gt;"",Z88,INT($A88)))/7)))))</f>
        <v/>
      </c>
      <c r="AB88" s="14">
        <f>IF($B88="","",MAX(0,S88-AA88))</f>
        <v/>
      </c>
      <c r="AC88" s="9">
        <f>IF($B88="","",IF(T88="X","X",IF(AB88&gt;='Critérios e pesos'!$C$29,"A",IF(AB88&gt;='Critérios e pesos'!$C$30,"B","C"))))</f>
        <v/>
      </c>
      <c r="AD88" s="4" t="n"/>
      <c r="AE88" s="18" t="n"/>
      <c r="AF88" s="6" t="n"/>
      <c r="AH88">
        <f>IF($A88="","",IF(OR(WEEKDAY($A88,2)&gt;5,ROUND(MOD($A88,1)*1440,0)&gt;=ROUND('Critérios e pesos'!$C$37*1440,0)),WORKDAY(INT($A88),1)+ROUND('Critérios e pesos'!$C$36*1440,0)/1440,IF(ROUND(MOD($A88,1)*1440,0)&lt;ROUND('Critérios e pesos'!$C$36*1440,0),INT($A88)+ROUND('Critérios e pesos'!$C$36*1440,0)/1440,$A88)))</f>
        <v/>
      </c>
      <c r="AI88">
        <f>IF(AH88="","",ROUND(MOD(AH88,1)*1440,0))</f>
        <v/>
      </c>
      <c r="AJ88">
        <f>IF(T88="","",INDEX('Critérios e pesos'!$E$29:$E$32,MATCH(T88,'Critérios e pesos'!$A$29:$A$32,0)))</f>
        <v/>
      </c>
    </row>
    <row r="89">
      <c r="A89" s="13" t="n"/>
      <c r="B89" s="6" t="n"/>
      <c r="C89" s="6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6" t="n"/>
      <c r="O89" s="6" t="n"/>
      <c r="P89" s="14">
        <f>IF($B89="","",(E89="Claro")*'Critérios e pesos'!$G$5+(E89="Em parte")*'Critérios e pesos'!$G$5/2+(F89="Claro")*'Critérios e pesos'!$G$6+(F89="Em parte")*'Critérios e pesos'!$G$6/2+(G89="Claro")*'Critérios e pesos'!$G$7+(G89="Em parte")*'Critérios e pesos'!$G$7/2+(H89="Claro")*'Critérios e pesos'!$G$8+(H89="Em parte")*'Critérios e pesos'!$G$8/2)</f>
        <v/>
      </c>
      <c r="Q89" s="14">
        <f>IF($B89="","",(I89="Claro")*'Critérios e pesos'!$G$9+(I89="Em parte")*'Critérios e pesos'!$G$9/2+(J89="Claro")*'Critérios e pesos'!$G$10+(J89="Em parte")*'Critérios e pesos'!$G$10/2+(K89="Claro")*'Critérios e pesos'!$G$11+(K89="Em parte")*'Critérios e pesos'!$G$11/2+(L89="Claro")*'Critérios e pesos'!$G$12+(L89="Em parte")*'Critérios e pesos'!$G$12/2+(M89="Claro")*'Critérios e pesos'!$G$13+(M89="Em parte")*'Critérios e pesos'!$G$13/2)</f>
        <v/>
      </c>
      <c r="R89" s="14">
        <f>IF($B89="","",IFERROR(VLOOKUP(N89,'Critérios e pesos'!$B$17:$C$20,2,FALSE),0))</f>
        <v/>
      </c>
      <c r="S89" s="9">
        <f>IF($B89="","",MAX(0,P89+Q89+R89))</f>
        <v/>
      </c>
      <c r="T89" s="9">
        <f>IF($B89="","",IF(O89&lt;&gt;"","X",IF(S89&gt;='Critérios e pesos'!$C$29,"A",IF(S89&gt;='Critérios e pesos'!$C$30,"B","C"))))</f>
        <v/>
      </c>
      <c r="U89" s="14">
        <f>IF(T89="","",INDEX('Critérios e pesos'!$D$29:$D$32,MATCH(T89,'Critérios e pesos'!$A$29:$A$32,0)))</f>
        <v/>
      </c>
      <c r="V89" s="14">
        <f>IF(T89="","",INDEX('Critérios e pesos'!$F$29:$F$32,MATCH(T89,'Critérios e pesos'!$A$29:$A$32,0)))</f>
        <v/>
      </c>
      <c r="W89" s="15">
        <f>IF(OR(AH89="",AJ89=""),"",IF(AI89+AJ89*60&lt;=ROUND('Critérios e pesos'!$C$37*1440,0),INT(AH89)+(AI89+AJ89*60)/1440,WORKDAY(INT(AH89),1+INT((AI89+AJ89*60-ROUND('Critérios e pesos'!$C$37*1440,0)-1)/(ROUND('Critérios e pesos'!$C$37*1440,0)-ROUND('Critérios e pesos'!$C$36*1440,0))))+(ROUND('Critérios e pesos'!$C$36*1440,0)+AI89+AJ89*60-ROUND('Critérios e pesos'!$C$37*1440,0)-INT((AI89+AJ89*60-ROUND('Critérios e pesos'!$C$37*1440,0)-1)/(ROUND('Critérios e pesos'!$C$37*1440,0)-ROUND('Critérios e pesos'!$C$36*1440,0)))*(ROUND('Critérios e pesos'!$C$37*1440,0)-ROUND('Critérios e pesos'!$C$36*1440,0)))/1440))</f>
        <v/>
      </c>
      <c r="X89" s="16" t="n"/>
      <c r="Y89" s="14">
        <f>IF(W89="","",IF(X89="",IF(NOW()&gt;W89,"Atrasado","Em espera"),IF(X89&lt;=W89,"No prazo","Atrasado")))</f>
        <v/>
      </c>
      <c r="Z89" s="17" t="n"/>
      <c r="AA89" s="14">
        <f>IF($B89="","",IF(OR(T89="X",AD89&lt;&gt;""),0,MAX(0,MIN(Q89,'Critérios e pesos'!$C$38*INT((TODAY()-IF(Z89&lt;&gt;"",Z89,INT($A89)))/7)))))</f>
        <v/>
      </c>
      <c r="AB89" s="14">
        <f>IF($B89="","",MAX(0,S89-AA89))</f>
        <v/>
      </c>
      <c r="AC89" s="9">
        <f>IF($B89="","",IF(T89="X","X",IF(AB89&gt;='Critérios e pesos'!$C$29,"A",IF(AB89&gt;='Critérios e pesos'!$C$30,"B","C"))))</f>
        <v/>
      </c>
      <c r="AD89" s="4" t="n"/>
      <c r="AE89" s="18" t="n"/>
      <c r="AF89" s="6" t="n"/>
      <c r="AH89">
        <f>IF($A89="","",IF(OR(WEEKDAY($A89,2)&gt;5,ROUND(MOD($A89,1)*1440,0)&gt;=ROUND('Critérios e pesos'!$C$37*1440,0)),WORKDAY(INT($A89),1)+ROUND('Critérios e pesos'!$C$36*1440,0)/1440,IF(ROUND(MOD($A89,1)*1440,0)&lt;ROUND('Critérios e pesos'!$C$36*1440,0),INT($A89)+ROUND('Critérios e pesos'!$C$36*1440,0)/1440,$A89)))</f>
        <v/>
      </c>
      <c r="AI89">
        <f>IF(AH89="","",ROUND(MOD(AH89,1)*1440,0))</f>
        <v/>
      </c>
      <c r="AJ89">
        <f>IF(T89="","",INDEX('Critérios e pesos'!$E$29:$E$32,MATCH(T89,'Critérios e pesos'!$A$29:$A$32,0)))</f>
        <v/>
      </c>
    </row>
    <row r="90">
      <c r="A90" s="13" t="n"/>
      <c r="B90" s="6" t="n"/>
      <c r="C90" s="6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6" t="n"/>
      <c r="O90" s="6" t="n"/>
      <c r="P90" s="14">
        <f>IF($B90="","",(E90="Claro")*'Critérios e pesos'!$G$5+(E90="Em parte")*'Critérios e pesos'!$G$5/2+(F90="Claro")*'Critérios e pesos'!$G$6+(F90="Em parte")*'Critérios e pesos'!$G$6/2+(G90="Claro")*'Critérios e pesos'!$G$7+(G90="Em parte")*'Critérios e pesos'!$G$7/2+(H90="Claro")*'Critérios e pesos'!$G$8+(H90="Em parte")*'Critérios e pesos'!$G$8/2)</f>
        <v/>
      </c>
      <c r="Q90" s="14">
        <f>IF($B90="","",(I90="Claro")*'Critérios e pesos'!$G$9+(I90="Em parte")*'Critérios e pesos'!$G$9/2+(J90="Claro")*'Critérios e pesos'!$G$10+(J90="Em parte")*'Critérios e pesos'!$G$10/2+(K90="Claro")*'Critérios e pesos'!$G$11+(K90="Em parte")*'Critérios e pesos'!$G$11/2+(L90="Claro")*'Critérios e pesos'!$G$12+(L90="Em parte")*'Critérios e pesos'!$G$12/2+(M90="Claro")*'Critérios e pesos'!$G$13+(M90="Em parte")*'Critérios e pesos'!$G$13/2)</f>
        <v/>
      </c>
      <c r="R90" s="14">
        <f>IF($B90="","",IFERROR(VLOOKUP(N90,'Critérios e pesos'!$B$17:$C$20,2,FALSE),0))</f>
        <v/>
      </c>
      <c r="S90" s="9">
        <f>IF($B90="","",MAX(0,P90+Q90+R90))</f>
        <v/>
      </c>
      <c r="T90" s="9">
        <f>IF($B90="","",IF(O90&lt;&gt;"","X",IF(S90&gt;='Critérios e pesos'!$C$29,"A",IF(S90&gt;='Critérios e pesos'!$C$30,"B","C"))))</f>
        <v/>
      </c>
      <c r="U90" s="14">
        <f>IF(T90="","",INDEX('Critérios e pesos'!$D$29:$D$32,MATCH(T90,'Critérios e pesos'!$A$29:$A$32,0)))</f>
        <v/>
      </c>
      <c r="V90" s="14">
        <f>IF(T90="","",INDEX('Critérios e pesos'!$F$29:$F$32,MATCH(T90,'Critérios e pesos'!$A$29:$A$32,0)))</f>
        <v/>
      </c>
      <c r="W90" s="15">
        <f>IF(OR(AH90="",AJ90=""),"",IF(AI90+AJ90*60&lt;=ROUND('Critérios e pesos'!$C$37*1440,0),INT(AH90)+(AI90+AJ90*60)/1440,WORKDAY(INT(AH90),1+INT((AI90+AJ90*60-ROUND('Critérios e pesos'!$C$37*1440,0)-1)/(ROUND('Critérios e pesos'!$C$37*1440,0)-ROUND('Critérios e pesos'!$C$36*1440,0))))+(ROUND('Critérios e pesos'!$C$36*1440,0)+AI90+AJ90*60-ROUND('Critérios e pesos'!$C$37*1440,0)-INT((AI90+AJ90*60-ROUND('Critérios e pesos'!$C$37*1440,0)-1)/(ROUND('Critérios e pesos'!$C$37*1440,0)-ROUND('Critérios e pesos'!$C$36*1440,0)))*(ROUND('Critérios e pesos'!$C$37*1440,0)-ROUND('Critérios e pesos'!$C$36*1440,0)))/1440))</f>
        <v/>
      </c>
      <c r="X90" s="16" t="n"/>
      <c r="Y90" s="14">
        <f>IF(W90="","",IF(X90="",IF(NOW()&gt;W90,"Atrasado","Em espera"),IF(X90&lt;=W90,"No prazo","Atrasado")))</f>
        <v/>
      </c>
      <c r="Z90" s="17" t="n"/>
      <c r="AA90" s="14">
        <f>IF($B90="","",IF(OR(T90="X",AD90&lt;&gt;""),0,MAX(0,MIN(Q90,'Critérios e pesos'!$C$38*INT((TODAY()-IF(Z90&lt;&gt;"",Z90,INT($A90)))/7)))))</f>
        <v/>
      </c>
      <c r="AB90" s="14">
        <f>IF($B90="","",MAX(0,S90-AA90))</f>
        <v/>
      </c>
      <c r="AC90" s="9">
        <f>IF($B90="","",IF(T90="X","X",IF(AB90&gt;='Critérios e pesos'!$C$29,"A",IF(AB90&gt;='Critérios e pesos'!$C$30,"B","C"))))</f>
        <v/>
      </c>
      <c r="AD90" s="4" t="n"/>
      <c r="AE90" s="18" t="n"/>
      <c r="AF90" s="6" t="n"/>
      <c r="AH90">
        <f>IF($A90="","",IF(OR(WEEKDAY($A90,2)&gt;5,ROUND(MOD($A90,1)*1440,0)&gt;=ROUND('Critérios e pesos'!$C$37*1440,0)),WORKDAY(INT($A90),1)+ROUND('Critérios e pesos'!$C$36*1440,0)/1440,IF(ROUND(MOD($A90,1)*1440,0)&lt;ROUND('Critérios e pesos'!$C$36*1440,0),INT($A90)+ROUND('Critérios e pesos'!$C$36*1440,0)/1440,$A90)))</f>
        <v/>
      </c>
      <c r="AI90">
        <f>IF(AH90="","",ROUND(MOD(AH90,1)*1440,0))</f>
        <v/>
      </c>
      <c r="AJ90">
        <f>IF(T90="","",INDEX('Critérios e pesos'!$E$29:$E$32,MATCH(T90,'Critérios e pesos'!$A$29:$A$32,0)))</f>
        <v/>
      </c>
    </row>
    <row r="91">
      <c r="A91" s="13" t="n"/>
      <c r="B91" s="6" t="n"/>
      <c r="C91" s="6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6" t="n"/>
      <c r="O91" s="6" t="n"/>
      <c r="P91" s="14">
        <f>IF($B91="","",(E91="Claro")*'Critérios e pesos'!$G$5+(E91="Em parte")*'Critérios e pesos'!$G$5/2+(F91="Claro")*'Critérios e pesos'!$G$6+(F91="Em parte")*'Critérios e pesos'!$G$6/2+(G91="Claro")*'Critérios e pesos'!$G$7+(G91="Em parte")*'Critérios e pesos'!$G$7/2+(H91="Claro")*'Critérios e pesos'!$G$8+(H91="Em parte")*'Critérios e pesos'!$G$8/2)</f>
        <v/>
      </c>
      <c r="Q91" s="14">
        <f>IF($B91="","",(I91="Claro")*'Critérios e pesos'!$G$9+(I91="Em parte")*'Critérios e pesos'!$G$9/2+(J91="Claro")*'Critérios e pesos'!$G$10+(J91="Em parte")*'Critérios e pesos'!$G$10/2+(K91="Claro")*'Critérios e pesos'!$G$11+(K91="Em parte")*'Critérios e pesos'!$G$11/2+(L91="Claro")*'Critérios e pesos'!$G$12+(L91="Em parte")*'Critérios e pesos'!$G$12/2+(M91="Claro")*'Critérios e pesos'!$G$13+(M91="Em parte")*'Critérios e pesos'!$G$13/2)</f>
        <v/>
      </c>
      <c r="R91" s="14">
        <f>IF($B91="","",IFERROR(VLOOKUP(N91,'Critérios e pesos'!$B$17:$C$20,2,FALSE),0))</f>
        <v/>
      </c>
      <c r="S91" s="9">
        <f>IF($B91="","",MAX(0,P91+Q91+R91))</f>
        <v/>
      </c>
      <c r="T91" s="9">
        <f>IF($B91="","",IF(O91&lt;&gt;"","X",IF(S91&gt;='Critérios e pesos'!$C$29,"A",IF(S91&gt;='Critérios e pesos'!$C$30,"B","C"))))</f>
        <v/>
      </c>
      <c r="U91" s="14">
        <f>IF(T91="","",INDEX('Critérios e pesos'!$D$29:$D$32,MATCH(T91,'Critérios e pesos'!$A$29:$A$32,0)))</f>
        <v/>
      </c>
      <c r="V91" s="14">
        <f>IF(T91="","",INDEX('Critérios e pesos'!$F$29:$F$32,MATCH(T91,'Critérios e pesos'!$A$29:$A$32,0)))</f>
        <v/>
      </c>
      <c r="W91" s="15">
        <f>IF(OR(AH91="",AJ91=""),"",IF(AI91+AJ91*60&lt;=ROUND('Critérios e pesos'!$C$37*1440,0),INT(AH91)+(AI91+AJ91*60)/1440,WORKDAY(INT(AH91),1+INT((AI91+AJ91*60-ROUND('Critérios e pesos'!$C$37*1440,0)-1)/(ROUND('Critérios e pesos'!$C$37*1440,0)-ROUND('Critérios e pesos'!$C$36*1440,0))))+(ROUND('Critérios e pesos'!$C$36*1440,0)+AI91+AJ91*60-ROUND('Critérios e pesos'!$C$37*1440,0)-INT((AI91+AJ91*60-ROUND('Critérios e pesos'!$C$37*1440,0)-1)/(ROUND('Critérios e pesos'!$C$37*1440,0)-ROUND('Critérios e pesos'!$C$36*1440,0)))*(ROUND('Critérios e pesos'!$C$37*1440,0)-ROUND('Critérios e pesos'!$C$36*1440,0)))/1440))</f>
        <v/>
      </c>
      <c r="X91" s="16" t="n"/>
      <c r="Y91" s="14">
        <f>IF(W91="","",IF(X91="",IF(NOW()&gt;W91,"Atrasado","Em espera"),IF(X91&lt;=W91,"No prazo","Atrasado")))</f>
        <v/>
      </c>
      <c r="Z91" s="17" t="n"/>
      <c r="AA91" s="14">
        <f>IF($B91="","",IF(OR(T91="X",AD91&lt;&gt;""),0,MAX(0,MIN(Q91,'Critérios e pesos'!$C$38*INT((TODAY()-IF(Z91&lt;&gt;"",Z91,INT($A91)))/7)))))</f>
        <v/>
      </c>
      <c r="AB91" s="14">
        <f>IF($B91="","",MAX(0,S91-AA91))</f>
        <v/>
      </c>
      <c r="AC91" s="9">
        <f>IF($B91="","",IF(T91="X","X",IF(AB91&gt;='Critérios e pesos'!$C$29,"A",IF(AB91&gt;='Critérios e pesos'!$C$30,"B","C"))))</f>
        <v/>
      </c>
      <c r="AD91" s="4" t="n"/>
      <c r="AE91" s="18" t="n"/>
      <c r="AF91" s="6" t="n"/>
      <c r="AH91">
        <f>IF($A91="","",IF(OR(WEEKDAY($A91,2)&gt;5,ROUND(MOD($A91,1)*1440,0)&gt;=ROUND('Critérios e pesos'!$C$37*1440,0)),WORKDAY(INT($A91),1)+ROUND('Critérios e pesos'!$C$36*1440,0)/1440,IF(ROUND(MOD($A91,1)*1440,0)&lt;ROUND('Critérios e pesos'!$C$36*1440,0),INT($A91)+ROUND('Critérios e pesos'!$C$36*1440,0)/1440,$A91)))</f>
        <v/>
      </c>
      <c r="AI91">
        <f>IF(AH91="","",ROUND(MOD(AH91,1)*1440,0))</f>
        <v/>
      </c>
      <c r="AJ91">
        <f>IF(T91="","",INDEX('Critérios e pesos'!$E$29:$E$32,MATCH(T91,'Critérios e pesos'!$A$29:$A$32,0)))</f>
        <v/>
      </c>
    </row>
    <row r="92">
      <c r="A92" s="13" t="n"/>
      <c r="B92" s="6" t="n"/>
      <c r="C92" s="6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6" t="n"/>
      <c r="O92" s="6" t="n"/>
      <c r="P92" s="14">
        <f>IF($B92="","",(E92="Claro")*'Critérios e pesos'!$G$5+(E92="Em parte")*'Critérios e pesos'!$G$5/2+(F92="Claro")*'Critérios e pesos'!$G$6+(F92="Em parte")*'Critérios e pesos'!$G$6/2+(G92="Claro")*'Critérios e pesos'!$G$7+(G92="Em parte")*'Critérios e pesos'!$G$7/2+(H92="Claro")*'Critérios e pesos'!$G$8+(H92="Em parte")*'Critérios e pesos'!$G$8/2)</f>
        <v/>
      </c>
      <c r="Q92" s="14">
        <f>IF($B92="","",(I92="Claro")*'Critérios e pesos'!$G$9+(I92="Em parte")*'Critérios e pesos'!$G$9/2+(J92="Claro")*'Critérios e pesos'!$G$10+(J92="Em parte")*'Critérios e pesos'!$G$10/2+(K92="Claro")*'Critérios e pesos'!$G$11+(K92="Em parte")*'Critérios e pesos'!$G$11/2+(L92="Claro")*'Critérios e pesos'!$G$12+(L92="Em parte")*'Critérios e pesos'!$G$12/2+(M92="Claro")*'Critérios e pesos'!$G$13+(M92="Em parte")*'Critérios e pesos'!$G$13/2)</f>
        <v/>
      </c>
      <c r="R92" s="14">
        <f>IF($B92="","",IFERROR(VLOOKUP(N92,'Critérios e pesos'!$B$17:$C$20,2,FALSE),0))</f>
        <v/>
      </c>
      <c r="S92" s="9">
        <f>IF($B92="","",MAX(0,P92+Q92+R92))</f>
        <v/>
      </c>
      <c r="T92" s="9">
        <f>IF($B92="","",IF(O92&lt;&gt;"","X",IF(S92&gt;='Critérios e pesos'!$C$29,"A",IF(S92&gt;='Critérios e pesos'!$C$30,"B","C"))))</f>
        <v/>
      </c>
      <c r="U92" s="14">
        <f>IF(T92="","",INDEX('Critérios e pesos'!$D$29:$D$32,MATCH(T92,'Critérios e pesos'!$A$29:$A$32,0)))</f>
        <v/>
      </c>
      <c r="V92" s="14">
        <f>IF(T92="","",INDEX('Critérios e pesos'!$F$29:$F$32,MATCH(T92,'Critérios e pesos'!$A$29:$A$32,0)))</f>
        <v/>
      </c>
      <c r="W92" s="15">
        <f>IF(OR(AH92="",AJ92=""),"",IF(AI92+AJ92*60&lt;=ROUND('Critérios e pesos'!$C$37*1440,0),INT(AH92)+(AI92+AJ92*60)/1440,WORKDAY(INT(AH92),1+INT((AI92+AJ92*60-ROUND('Critérios e pesos'!$C$37*1440,0)-1)/(ROUND('Critérios e pesos'!$C$37*1440,0)-ROUND('Critérios e pesos'!$C$36*1440,0))))+(ROUND('Critérios e pesos'!$C$36*1440,0)+AI92+AJ92*60-ROUND('Critérios e pesos'!$C$37*1440,0)-INT((AI92+AJ92*60-ROUND('Critérios e pesos'!$C$37*1440,0)-1)/(ROUND('Critérios e pesos'!$C$37*1440,0)-ROUND('Critérios e pesos'!$C$36*1440,0)))*(ROUND('Critérios e pesos'!$C$37*1440,0)-ROUND('Critérios e pesos'!$C$36*1440,0)))/1440))</f>
        <v/>
      </c>
      <c r="X92" s="16" t="n"/>
      <c r="Y92" s="14">
        <f>IF(W92="","",IF(X92="",IF(NOW()&gt;W92,"Atrasado","Em espera"),IF(X92&lt;=W92,"No prazo","Atrasado")))</f>
        <v/>
      </c>
      <c r="Z92" s="17" t="n"/>
      <c r="AA92" s="14">
        <f>IF($B92="","",IF(OR(T92="X",AD92&lt;&gt;""),0,MAX(0,MIN(Q92,'Critérios e pesos'!$C$38*INT((TODAY()-IF(Z92&lt;&gt;"",Z92,INT($A92)))/7)))))</f>
        <v/>
      </c>
      <c r="AB92" s="14">
        <f>IF($B92="","",MAX(0,S92-AA92))</f>
        <v/>
      </c>
      <c r="AC92" s="9">
        <f>IF($B92="","",IF(T92="X","X",IF(AB92&gt;='Critérios e pesos'!$C$29,"A",IF(AB92&gt;='Critérios e pesos'!$C$30,"B","C"))))</f>
        <v/>
      </c>
      <c r="AD92" s="4" t="n"/>
      <c r="AE92" s="18" t="n"/>
      <c r="AF92" s="6" t="n"/>
      <c r="AH92">
        <f>IF($A92="","",IF(OR(WEEKDAY($A92,2)&gt;5,ROUND(MOD($A92,1)*1440,0)&gt;=ROUND('Critérios e pesos'!$C$37*1440,0)),WORKDAY(INT($A92),1)+ROUND('Critérios e pesos'!$C$36*1440,0)/1440,IF(ROUND(MOD($A92,1)*1440,0)&lt;ROUND('Critérios e pesos'!$C$36*1440,0),INT($A92)+ROUND('Critérios e pesos'!$C$36*1440,0)/1440,$A92)))</f>
        <v/>
      </c>
      <c r="AI92">
        <f>IF(AH92="","",ROUND(MOD(AH92,1)*1440,0))</f>
        <v/>
      </c>
      <c r="AJ92">
        <f>IF(T92="","",INDEX('Critérios e pesos'!$E$29:$E$32,MATCH(T92,'Critérios e pesos'!$A$29:$A$32,0)))</f>
        <v/>
      </c>
    </row>
    <row r="93">
      <c r="A93" s="13" t="n"/>
      <c r="B93" s="6" t="n"/>
      <c r="C93" s="6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6" t="n"/>
      <c r="O93" s="6" t="n"/>
      <c r="P93" s="14">
        <f>IF($B93="","",(E93="Claro")*'Critérios e pesos'!$G$5+(E93="Em parte")*'Critérios e pesos'!$G$5/2+(F93="Claro")*'Critérios e pesos'!$G$6+(F93="Em parte")*'Critérios e pesos'!$G$6/2+(G93="Claro")*'Critérios e pesos'!$G$7+(G93="Em parte")*'Critérios e pesos'!$G$7/2+(H93="Claro")*'Critérios e pesos'!$G$8+(H93="Em parte")*'Critérios e pesos'!$G$8/2)</f>
        <v/>
      </c>
      <c r="Q93" s="14">
        <f>IF($B93="","",(I93="Claro")*'Critérios e pesos'!$G$9+(I93="Em parte")*'Critérios e pesos'!$G$9/2+(J93="Claro")*'Critérios e pesos'!$G$10+(J93="Em parte")*'Critérios e pesos'!$G$10/2+(K93="Claro")*'Critérios e pesos'!$G$11+(K93="Em parte")*'Critérios e pesos'!$G$11/2+(L93="Claro")*'Critérios e pesos'!$G$12+(L93="Em parte")*'Critérios e pesos'!$G$12/2+(M93="Claro")*'Critérios e pesos'!$G$13+(M93="Em parte")*'Critérios e pesos'!$G$13/2)</f>
        <v/>
      </c>
      <c r="R93" s="14">
        <f>IF($B93="","",IFERROR(VLOOKUP(N93,'Critérios e pesos'!$B$17:$C$20,2,FALSE),0))</f>
        <v/>
      </c>
      <c r="S93" s="9">
        <f>IF($B93="","",MAX(0,P93+Q93+R93))</f>
        <v/>
      </c>
      <c r="T93" s="9">
        <f>IF($B93="","",IF(O93&lt;&gt;"","X",IF(S93&gt;='Critérios e pesos'!$C$29,"A",IF(S93&gt;='Critérios e pesos'!$C$30,"B","C"))))</f>
        <v/>
      </c>
      <c r="U93" s="14">
        <f>IF(T93="","",INDEX('Critérios e pesos'!$D$29:$D$32,MATCH(T93,'Critérios e pesos'!$A$29:$A$32,0)))</f>
        <v/>
      </c>
      <c r="V93" s="14">
        <f>IF(T93="","",INDEX('Critérios e pesos'!$F$29:$F$32,MATCH(T93,'Critérios e pesos'!$A$29:$A$32,0)))</f>
        <v/>
      </c>
      <c r="W93" s="15">
        <f>IF(OR(AH93="",AJ93=""),"",IF(AI93+AJ93*60&lt;=ROUND('Critérios e pesos'!$C$37*1440,0),INT(AH93)+(AI93+AJ93*60)/1440,WORKDAY(INT(AH93),1+INT((AI93+AJ93*60-ROUND('Critérios e pesos'!$C$37*1440,0)-1)/(ROUND('Critérios e pesos'!$C$37*1440,0)-ROUND('Critérios e pesos'!$C$36*1440,0))))+(ROUND('Critérios e pesos'!$C$36*1440,0)+AI93+AJ93*60-ROUND('Critérios e pesos'!$C$37*1440,0)-INT((AI93+AJ93*60-ROUND('Critérios e pesos'!$C$37*1440,0)-1)/(ROUND('Critérios e pesos'!$C$37*1440,0)-ROUND('Critérios e pesos'!$C$36*1440,0)))*(ROUND('Critérios e pesos'!$C$37*1440,0)-ROUND('Critérios e pesos'!$C$36*1440,0)))/1440))</f>
        <v/>
      </c>
      <c r="X93" s="16" t="n"/>
      <c r="Y93" s="14">
        <f>IF(W93="","",IF(X93="",IF(NOW()&gt;W93,"Atrasado","Em espera"),IF(X93&lt;=W93,"No prazo","Atrasado")))</f>
        <v/>
      </c>
      <c r="Z93" s="17" t="n"/>
      <c r="AA93" s="14">
        <f>IF($B93="","",IF(OR(T93="X",AD93&lt;&gt;""),0,MAX(0,MIN(Q93,'Critérios e pesos'!$C$38*INT((TODAY()-IF(Z93&lt;&gt;"",Z93,INT($A93)))/7)))))</f>
        <v/>
      </c>
      <c r="AB93" s="14">
        <f>IF($B93="","",MAX(0,S93-AA93))</f>
        <v/>
      </c>
      <c r="AC93" s="9">
        <f>IF($B93="","",IF(T93="X","X",IF(AB93&gt;='Critérios e pesos'!$C$29,"A",IF(AB93&gt;='Critérios e pesos'!$C$30,"B","C"))))</f>
        <v/>
      </c>
      <c r="AD93" s="4" t="n"/>
      <c r="AE93" s="18" t="n"/>
      <c r="AF93" s="6" t="n"/>
      <c r="AH93">
        <f>IF($A93="","",IF(OR(WEEKDAY($A93,2)&gt;5,ROUND(MOD($A93,1)*1440,0)&gt;=ROUND('Critérios e pesos'!$C$37*1440,0)),WORKDAY(INT($A93),1)+ROUND('Critérios e pesos'!$C$36*1440,0)/1440,IF(ROUND(MOD($A93,1)*1440,0)&lt;ROUND('Critérios e pesos'!$C$36*1440,0),INT($A93)+ROUND('Critérios e pesos'!$C$36*1440,0)/1440,$A93)))</f>
        <v/>
      </c>
      <c r="AI93">
        <f>IF(AH93="","",ROUND(MOD(AH93,1)*1440,0))</f>
        <v/>
      </c>
      <c r="AJ93">
        <f>IF(T93="","",INDEX('Critérios e pesos'!$E$29:$E$32,MATCH(T93,'Critérios e pesos'!$A$29:$A$32,0)))</f>
        <v/>
      </c>
    </row>
    <row r="94">
      <c r="A94" s="13" t="n"/>
      <c r="B94" s="6" t="n"/>
      <c r="C94" s="6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6" t="n"/>
      <c r="O94" s="6" t="n"/>
      <c r="P94" s="14">
        <f>IF($B94="","",(E94="Claro")*'Critérios e pesos'!$G$5+(E94="Em parte")*'Critérios e pesos'!$G$5/2+(F94="Claro")*'Critérios e pesos'!$G$6+(F94="Em parte")*'Critérios e pesos'!$G$6/2+(G94="Claro")*'Critérios e pesos'!$G$7+(G94="Em parte")*'Critérios e pesos'!$G$7/2+(H94="Claro")*'Critérios e pesos'!$G$8+(H94="Em parte")*'Critérios e pesos'!$G$8/2)</f>
        <v/>
      </c>
      <c r="Q94" s="14">
        <f>IF($B94="","",(I94="Claro")*'Critérios e pesos'!$G$9+(I94="Em parte")*'Critérios e pesos'!$G$9/2+(J94="Claro")*'Critérios e pesos'!$G$10+(J94="Em parte")*'Critérios e pesos'!$G$10/2+(K94="Claro")*'Critérios e pesos'!$G$11+(K94="Em parte")*'Critérios e pesos'!$G$11/2+(L94="Claro")*'Critérios e pesos'!$G$12+(L94="Em parte")*'Critérios e pesos'!$G$12/2+(M94="Claro")*'Critérios e pesos'!$G$13+(M94="Em parte")*'Critérios e pesos'!$G$13/2)</f>
        <v/>
      </c>
      <c r="R94" s="14">
        <f>IF($B94="","",IFERROR(VLOOKUP(N94,'Critérios e pesos'!$B$17:$C$20,2,FALSE),0))</f>
        <v/>
      </c>
      <c r="S94" s="9">
        <f>IF($B94="","",MAX(0,P94+Q94+R94))</f>
        <v/>
      </c>
      <c r="T94" s="9">
        <f>IF($B94="","",IF(O94&lt;&gt;"","X",IF(S94&gt;='Critérios e pesos'!$C$29,"A",IF(S94&gt;='Critérios e pesos'!$C$30,"B","C"))))</f>
        <v/>
      </c>
      <c r="U94" s="14">
        <f>IF(T94="","",INDEX('Critérios e pesos'!$D$29:$D$32,MATCH(T94,'Critérios e pesos'!$A$29:$A$32,0)))</f>
        <v/>
      </c>
      <c r="V94" s="14">
        <f>IF(T94="","",INDEX('Critérios e pesos'!$F$29:$F$32,MATCH(T94,'Critérios e pesos'!$A$29:$A$32,0)))</f>
        <v/>
      </c>
      <c r="W94" s="15">
        <f>IF(OR(AH94="",AJ94=""),"",IF(AI94+AJ94*60&lt;=ROUND('Critérios e pesos'!$C$37*1440,0),INT(AH94)+(AI94+AJ94*60)/1440,WORKDAY(INT(AH94),1+INT((AI94+AJ94*60-ROUND('Critérios e pesos'!$C$37*1440,0)-1)/(ROUND('Critérios e pesos'!$C$37*1440,0)-ROUND('Critérios e pesos'!$C$36*1440,0))))+(ROUND('Critérios e pesos'!$C$36*1440,0)+AI94+AJ94*60-ROUND('Critérios e pesos'!$C$37*1440,0)-INT((AI94+AJ94*60-ROUND('Critérios e pesos'!$C$37*1440,0)-1)/(ROUND('Critérios e pesos'!$C$37*1440,0)-ROUND('Critérios e pesos'!$C$36*1440,0)))*(ROUND('Critérios e pesos'!$C$37*1440,0)-ROUND('Critérios e pesos'!$C$36*1440,0)))/1440))</f>
        <v/>
      </c>
      <c r="X94" s="16" t="n"/>
      <c r="Y94" s="14">
        <f>IF(W94="","",IF(X94="",IF(NOW()&gt;W94,"Atrasado","Em espera"),IF(X94&lt;=W94,"No prazo","Atrasado")))</f>
        <v/>
      </c>
      <c r="Z94" s="17" t="n"/>
      <c r="AA94" s="14">
        <f>IF($B94="","",IF(OR(T94="X",AD94&lt;&gt;""),0,MAX(0,MIN(Q94,'Critérios e pesos'!$C$38*INT((TODAY()-IF(Z94&lt;&gt;"",Z94,INT($A94)))/7)))))</f>
        <v/>
      </c>
      <c r="AB94" s="14">
        <f>IF($B94="","",MAX(0,S94-AA94))</f>
        <v/>
      </c>
      <c r="AC94" s="9">
        <f>IF($B94="","",IF(T94="X","X",IF(AB94&gt;='Critérios e pesos'!$C$29,"A",IF(AB94&gt;='Critérios e pesos'!$C$30,"B","C"))))</f>
        <v/>
      </c>
      <c r="AD94" s="4" t="n"/>
      <c r="AE94" s="18" t="n"/>
      <c r="AF94" s="6" t="n"/>
      <c r="AH94">
        <f>IF($A94="","",IF(OR(WEEKDAY($A94,2)&gt;5,ROUND(MOD($A94,1)*1440,0)&gt;=ROUND('Critérios e pesos'!$C$37*1440,0)),WORKDAY(INT($A94),1)+ROUND('Critérios e pesos'!$C$36*1440,0)/1440,IF(ROUND(MOD($A94,1)*1440,0)&lt;ROUND('Critérios e pesos'!$C$36*1440,0),INT($A94)+ROUND('Critérios e pesos'!$C$36*1440,0)/1440,$A94)))</f>
        <v/>
      </c>
      <c r="AI94">
        <f>IF(AH94="","",ROUND(MOD(AH94,1)*1440,0))</f>
        <v/>
      </c>
      <c r="AJ94">
        <f>IF(T94="","",INDEX('Critérios e pesos'!$E$29:$E$32,MATCH(T94,'Critérios e pesos'!$A$29:$A$32,0)))</f>
        <v/>
      </c>
    </row>
    <row r="95">
      <c r="A95" s="13" t="n"/>
      <c r="B95" s="6" t="n"/>
      <c r="C95" s="6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6" t="n"/>
      <c r="O95" s="6" t="n"/>
      <c r="P95" s="14">
        <f>IF($B95="","",(E95="Claro")*'Critérios e pesos'!$G$5+(E95="Em parte")*'Critérios e pesos'!$G$5/2+(F95="Claro")*'Critérios e pesos'!$G$6+(F95="Em parte")*'Critérios e pesos'!$G$6/2+(G95="Claro")*'Critérios e pesos'!$G$7+(G95="Em parte")*'Critérios e pesos'!$G$7/2+(H95="Claro")*'Critérios e pesos'!$G$8+(H95="Em parte")*'Critérios e pesos'!$G$8/2)</f>
        <v/>
      </c>
      <c r="Q95" s="14">
        <f>IF($B95="","",(I95="Claro")*'Critérios e pesos'!$G$9+(I95="Em parte")*'Critérios e pesos'!$G$9/2+(J95="Claro")*'Critérios e pesos'!$G$10+(J95="Em parte")*'Critérios e pesos'!$G$10/2+(K95="Claro")*'Critérios e pesos'!$G$11+(K95="Em parte")*'Critérios e pesos'!$G$11/2+(L95="Claro")*'Critérios e pesos'!$G$12+(L95="Em parte")*'Critérios e pesos'!$G$12/2+(M95="Claro")*'Critérios e pesos'!$G$13+(M95="Em parte")*'Critérios e pesos'!$G$13/2)</f>
        <v/>
      </c>
      <c r="R95" s="14">
        <f>IF($B95="","",IFERROR(VLOOKUP(N95,'Critérios e pesos'!$B$17:$C$20,2,FALSE),0))</f>
        <v/>
      </c>
      <c r="S95" s="9">
        <f>IF($B95="","",MAX(0,P95+Q95+R95))</f>
        <v/>
      </c>
      <c r="T95" s="9">
        <f>IF($B95="","",IF(O95&lt;&gt;"","X",IF(S95&gt;='Critérios e pesos'!$C$29,"A",IF(S95&gt;='Critérios e pesos'!$C$30,"B","C"))))</f>
        <v/>
      </c>
      <c r="U95" s="14">
        <f>IF(T95="","",INDEX('Critérios e pesos'!$D$29:$D$32,MATCH(T95,'Critérios e pesos'!$A$29:$A$32,0)))</f>
        <v/>
      </c>
      <c r="V95" s="14">
        <f>IF(T95="","",INDEX('Critérios e pesos'!$F$29:$F$32,MATCH(T95,'Critérios e pesos'!$A$29:$A$32,0)))</f>
        <v/>
      </c>
      <c r="W95" s="15">
        <f>IF(OR(AH95="",AJ95=""),"",IF(AI95+AJ95*60&lt;=ROUND('Critérios e pesos'!$C$37*1440,0),INT(AH95)+(AI95+AJ95*60)/1440,WORKDAY(INT(AH95),1+INT((AI95+AJ95*60-ROUND('Critérios e pesos'!$C$37*1440,0)-1)/(ROUND('Critérios e pesos'!$C$37*1440,0)-ROUND('Critérios e pesos'!$C$36*1440,0))))+(ROUND('Critérios e pesos'!$C$36*1440,0)+AI95+AJ95*60-ROUND('Critérios e pesos'!$C$37*1440,0)-INT((AI95+AJ95*60-ROUND('Critérios e pesos'!$C$37*1440,0)-1)/(ROUND('Critérios e pesos'!$C$37*1440,0)-ROUND('Critérios e pesos'!$C$36*1440,0)))*(ROUND('Critérios e pesos'!$C$37*1440,0)-ROUND('Critérios e pesos'!$C$36*1440,0)))/1440))</f>
        <v/>
      </c>
      <c r="X95" s="16" t="n"/>
      <c r="Y95" s="14">
        <f>IF(W95="","",IF(X95="",IF(NOW()&gt;W95,"Atrasado","Em espera"),IF(X95&lt;=W95,"No prazo","Atrasado")))</f>
        <v/>
      </c>
      <c r="Z95" s="17" t="n"/>
      <c r="AA95" s="14">
        <f>IF($B95="","",IF(OR(T95="X",AD95&lt;&gt;""),0,MAX(0,MIN(Q95,'Critérios e pesos'!$C$38*INT((TODAY()-IF(Z95&lt;&gt;"",Z95,INT($A95)))/7)))))</f>
        <v/>
      </c>
      <c r="AB95" s="14">
        <f>IF($B95="","",MAX(0,S95-AA95))</f>
        <v/>
      </c>
      <c r="AC95" s="9">
        <f>IF($B95="","",IF(T95="X","X",IF(AB95&gt;='Critérios e pesos'!$C$29,"A",IF(AB95&gt;='Critérios e pesos'!$C$30,"B","C"))))</f>
        <v/>
      </c>
      <c r="AD95" s="4" t="n"/>
      <c r="AE95" s="18" t="n"/>
      <c r="AF95" s="6" t="n"/>
      <c r="AH95">
        <f>IF($A95="","",IF(OR(WEEKDAY($A95,2)&gt;5,ROUND(MOD($A95,1)*1440,0)&gt;=ROUND('Critérios e pesos'!$C$37*1440,0)),WORKDAY(INT($A95),1)+ROUND('Critérios e pesos'!$C$36*1440,0)/1440,IF(ROUND(MOD($A95,1)*1440,0)&lt;ROUND('Critérios e pesos'!$C$36*1440,0),INT($A95)+ROUND('Critérios e pesos'!$C$36*1440,0)/1440,$A95)))</f>
        <v/>
      </c>
      <c r="AI95">
        <f>IF(AH95="","",ROUND(MOD(AH95,1)*1440,0))</f>
        <v/>
      </c>
      <c r="AJ95">
        <f>IF(T95="","",INDEX('Critérios e pesos'!$E$29:$E$32,MATCH(T95,'Critérios e pesos'!$A$29:$A$32,0)))</f>
        <v/>
      </c>
    </row>
    <row r="96">
      <c r="A96" s="13" t="n"/>
      <c r="B96" s="6" t="n"/>
      <c r="C96" s="6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6" t="n"/>
      <c r="O96" s="6" t="n"/>
      <c r="P96" s="14">
        <f>IF($B96="","",(E96="Claro")*'Critérios e pesos'!$G$5+(E96="Em parte")*'Critérios e pesos'!$G$5/2+(F96="Claro")*'Critérios e pesos'!$G$6+(F96="Em parte")*'Critérios e pesos'!$G$6/2+(G96="Claro")*'Critérios e pesos'!$G$7+(G96="Em parte")*'Critérios e pesos'!$G$7/2+(H96="Claro")*'Critérios e pesos'!$G$8+(H96="Em parte")*'Critérios e pesos'!$G$8/2)</f>
        <v/>
      </c>
      <c r="Q96" s="14">
        <f>IF($B96="","",(I96="Claro")*'Critérios e pesos'!$G$9+(I96="Em parte")*'Critérios e pesos'!$G$9/2+(J96="Claro")*'Critérios e pesos'!$G$10+(J96="Em parte")*'Critérios e pesos'!$G$10/2+(K96="Claro")*'Critérios e pesos'!$G$11+(K96="Em parte")*'Critérios e pesos'!$G$11/2+(L96="Claro")*'Critérios e pesos'!$G$12+(L96="Em parte")*'Critérios e pesos'!$G$12/2+(M96="Claro")*'Critérios e pesos'!$G$13+(M96="Em parte")*'Critérios e pesos'!$G$13/2)</f>
        <v/>
      </c>
      <c r="R96" s="14">
        <f>IF($B96="","",IFERROR(VLOOKUP(N96,'Critérios e pesos'!$B$17:$C$20,2,FALSE),0))</f>
        <v/>
      </c>
      <c r="S96" s="9">
        <f>IF($B96="","",MAX(0,P96+Q96+R96))</f>
        <v/>
      </c>
      <c r="T96" s="9">
        <f>IF($B96="","",IF(O96&lt;&gt;"","X",IF(S96&gt;='Critérios e pesos'!$C$29,"A",IF(S96&gt;='Critérios e pesos'!$C$30,"B","C"))))</f>
        <v/>
      </c>
      <c r="U96" s="14">
        <f>IF(T96="","",INDEX('Critérios e pesos'!$D$29:$D$32,MATCH(T96,'Critérios e pesos'!$A$29:$A$32,0)))</f>
        <v/>
      </c>
      <c r="V96" s="14">
        <f>IF(T96="","",INDEX('Critérios e pesos'!$F$29:$F$32,MATCH(T96,'Critérios e pesos'!$A$29:$A$32,0)))</f>
        <v/>
      </c>
      <c r="W96" s="15">
        <f>IF(OR(AH96="",AJ96=""),"",IF(AI96+AJ96*60&lt;=ROUND('Critérios e pesos'!$C$37*1440,0),INT(AH96)+(AI96+AJ96*60)/1440,WORKDAY(INT(AH96),1+INT((AI96+AJ96*60-ROUND('Critérios e pesos'!$C$37*1440,0)-1)/(ROUND('Critérios e pesos'!$C$37*1440,0)-ROUND('Critérios e pesos'!$C$36*1440,0))))+(ROUND('Critérios e pesos'!$C$36*1440,0)+AI96+AJ96*60-ROUND('Critérios e pesos'!$C$37*1440,0)-INT((AI96+AJ96*60-ROUND('Critérios e pesos'!$C$37*1440,0)-1)/(ROUND('Critérios e pesos'!$C$37*1440,0)-ROUND('Critérios e pesos'!$C$36*1440,0)))*(ROUND('Critérios e pesos'!$C$37*1440,0)-ROUND('Critérios e pesos'!$C$36*1440,0)))/1440))</f>
        <v/>
      </c>
      <c r="X96" s="16" t="n"/>
      <c r="Y96" s="14">
        <f>IF(W96="","",IF(X96="",IF(NOW()&gt;W96,"Atrasado","Em espera"),IF(X96&lt;=W96,"No prazo","Atrasado")))</f>
        <v/>
      </c>
      <c r="Z96" s="17" t="n"/>
      <c r="AA96" s="14">
        <f>IF($B96="","",IF(OR(T96="X",AD96&lt;&gt;""),0,MAX(0,MIN(Q96,'Critérios e pesos'!$C$38*INT((TODAY()-IF(Z96&lt;&gt;"",Z96,INT($A96)))/7)))))</f>
        <v/>
      </c>
      <c r="AB96" s="14">
        <f>IF($B96="","",MAX(0,S96-AA96))</f>
        <v/>
      </c>
      <c r="AC96" s="9">
        <f>IF($B96="","",IF(T96="X","X",IF(AB96&gt;='Critérios e pesos'!$C$29,"A",IF(AB96&gt;='Critérios e pesos'!$C$30,"B","C"))))</f>
        <v/>
      </c>
      <c r="AD96" s="4" t="n"/>
      <c r="AE96" s="18" t="n"/>
      <c r="AF96" s="6" t="n"/>
      <c r="AH96">
        <f>IF($A96="","",IF(OR(WEEKDAY($A96,2)&gt;5,ROUND(MOD($A96,1)*1440,0)&gt;=ROUND('Critérios e pesos'!$C$37*1440,0)),WORKDAY(INT($A96),1)+ROUND('Critérios e pesos'!$C$36*1440,0)/1440,IF(ROUND(MOD($A96,1)*1440,0)&lt;ROUND('Critérios e pesos'!$C$36*1440,0),INT($A96)+ROUND('Critérios e pesos'!$C$36*1440,0)/1440,$A96)))</f>
        <v/>
      </c>
      <c r="AI96">
        <f>IF(AH96="","",ROUND(MOD(AH96,1)*1440,0))</f>
        <v/>
      </c>
      <c r="AJ96">
        <f>IF(T96="","",INDEX('Critérios e pesos'!$E$29:$E$32,MATCH(T96,'Critérios e pesos'!$A$29:$A$32,0)))</f>
        <v/>
      </c>
    </row>
    <row r="97">
      <c r="A97" s="13" t="n"/>
      <c r="B97" s="6" t="n"/>
      <c r="C97" s="6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6" t="n"/>
      <c r="O97" s="6" t="n"/>
      <c r="P97" s="14">
        <f>IF($B97="","",(E97="Claro")*'Critérios e pesos'!$G$5+(E97="Em parte")*'Critérios e pesos'!$G$5/2+(F97="Claro")*'Critérios e pesos'!$G$6+(F97="Em parte")*'Critérios e pesos'!$G$6/2+(G97="Claro")*'Critérios e pesos'!$G$7+(G97="Em parte")*'Critérios e pesos'!$G$7/2+(H97="Claro")*'Critérios e pesos'!$G$8+(H97="Em parte")*'Critérios e pesos'!$G$8/2)</f>
        <v/>
      </c>
      <c r="Q97" s="14">
        <f>IF($B97="","",(I97="Claro")*'Critérios e pesos'!$G$9+(I97="Em parte")*'Critérios e pesos'!$G$9/2+(J97="Claro")*'Critérios e pesos'!$G$10+(J97="Em parte")*'Critérios e pesos'!$G$10/2+(K97="Claro")*'Critérios e pesos'!$G$11+(K97="Em parte")*'Critérios e pesos'!$G$11/2+(L97="Claro")*'Critérios e pesos'!$G$12+(L97="Em parte")*'Critérios e pesos'!$G$12/2+(M97="Claro")*'Critérios e pesos'!$G$13+(M97="Em parte")*'Critérios e pesos'!$G$13/2)</f>
        <v/>
      </c>
      <c r="R97" s="14">
        <f>IF($B97="","",IFERROR(VLOOKUP(N97,'Critérios e pesos'!$B$17:$C$20,2,FALSE),0))</f>
        <v/>
      </c>
      <c r="S97" s="9">
        <f>IF($B97="","",MAX(0,P97+Q97+R97))</f>
        <v/>
      </c>
      <c r="T97" s="9">
        <f>IF($B97="","",IF(O97&lt;&gt;"","X",IF(S97&gt;='Critérios e pesos'!$C$29,"A",IF(S97&gt;='Critérios e pesos'!$C$30,"B","C"))))</f>
        <v/>
      </c>
      <c r="U97" s="14">
        <f>IF(T97="","",INDEX('Critérios e pesos'!$D$29:$D$32,MATCH(T97,'Critérios e pesos'!$A$29:$A$32,0)))</f>
        <v/>
      </c>
      <c r="V97" s="14">
        <f>IF(T97="","",INDEX('Critérios e pesos'!$F$29:$F$32,MATCH(T97,'Critérios e pesos'!$A$29:$A$32,0)))</f>
        <v/>
      </c>
      <c r="W97" s="15">
        <f>IF(OR(AH97="",AJ97=""),"",IF(AI97+AJ97*60&lt;=ROUND('Critérios e pesos'!$C$37*1440,0),INT(AH97)+(AI97+AJ97*60)/1440,WORKDAY(INT(AH97),1+INT((AI97+AJ97*60-ROUND('Critérios e pesos'!$C$37*1440,0)-1)/(ROUND('Critérios e pesos'!$C$37*1440,0)-ROUND('Critérios e pesos'!$C$36*1440,0))))+(ROUND('Critérios e pesos'!$C$36*1440,0)+AI97+AJ97*60-ROUND('Critérios e pesos'!$C$37*1440,0)-INT((AI97+AJ97*60-ROUND('Critérios e pesos'!$C$37*1440,0)-1)/(ROUND('Critérios e pesos'!$C$37*1440,0)-ROUND('Critérios e pesos'!$C$36*1440,0)))*(ROUND('Critérios e pesos'!$C$37*1440,0)-ROUND('Critérios e pesos'!$C$36*1440,0)))/1440))</f>
        <v/>
      </c>
      <c r="X97" s="16" t="n"/>
      <c r="Y97" s="14">
        <f>IF(W97="","",IF(X97="",IF(NOW()&gt;W97,"Atrasado","Em espera"),IF(X97&lt;=W97,"No prazo","Atrasado")))</f>
        <v/>
      </c>
      <c r="Z97" s="17" t="n"/>
      <c r="AA97" s="14">
        <f>IF($B97="","",IF(OR(T97="X",AD97&lt;&gt;""),0,MAX(0,MIN(Q97,'Critérios e pesos'!$C$38*INT((TODAY()-IF(Z97&lt;&gt;"",Z97,INT($A97)))/7)))))</f>
        <v/>
      </c>
      <c r="AB97" s="14">
        <f>IF($B97="","",MAX(0,S97-AA97))</f>
        <v/>
      </c>
      <c r="AC97" s="9">
        <f>IF($B97="","",IF(T97="X","X",IF(AB97&gt;='Critérios e pesos'!$C$29,"A",IF(AB97&gt;='Critérios e pesos'!$C$30,"B","C"))))</f>
        <v/>
      </c>
      <c r="AD97" s="4" t="n"/>
      <c r="AE97" s="18" t="n"/>
      <c r="AF97" s="6" t="n"/>
      <c r="AH97">
        <f>IF($A97="","",IF(OR(WEEKDAY($A97,2)&gt;5,ROUND(MOD($A97,1)*1440,0)&gt;=ROUND('Critérios e pesos'!$C$37*1440,0)),WORKDAY(INT($A97),1)+ROUND('Critérios e pesos'!$C$36*1440,0)/1440,IF(ROUND(MOD($A97,1)*1440,0)&lt;ROUND('Critérios e pesos'!$C$36*1440,0),INT($A97)+ROUND('Critérios e pesos'!$C$36*1440,0)/1440,$A97)))</f>
        <v/>
      </c>
      <c r="AI97">
        <f>IF(AH97="","",ROUND(MOD(AH97,1)*1440,0))</f>
        <v/>
      </c>
      <c r="AJ97">
        <f>IF(T97="","",INDEX('Critérios e pesos'!$E$29:$E$32,MATCH(T97,'Critérios e pesos'!$A$29:$A$32,0)))</f>
        <v/>
      </c>
    </row>
    <row r="98">
      <c r="A98" s="13" t="n"/>
      <c r="B98" s="6" t="n"/>
      <c r="C98" s="6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6" t="n"/>
      <c r="O98" s="6" t="n"/>
      <c r="P98" s="14">
        <f>IF($B98="","",(E98="Claro")*'Critérios e pesos'!$G$5+(E98="Em parte")*'Critérios e pesos'!$G$5/2+(F98="Claro")*'Critérios e pesos'!$G$6+(F98="Em parte")*'Critérios e pesos'!$G$6/2+(G98="Claro")*'Critérios e pesos'!$G$7+(G98="Em parte")*'Critérios e pesos'!$G$7/2+(H98="Claro")*'Critérios e pesos'!$G$8+(H98="Em parte")*'Critérios e pesos'!$G$8/2)</f>
        <v/>
      </c>
      <c r="Q98" s="14">
        <f>IF($B98="","",(I98="Claro")*'Critérios e pesos'!$G$9+(I98="Em parte")*'Critérios e pesos'!$G$9/2+(J98="Claro")*'Critérios e pesos'!$G$10+(J98="Em parte")*'Critérios e pesos'!$G$10/2+(K98="Claro")*'Critérios e pesos'!$G$11+(K98="Em parte")*'Critérios e pesos'!$G$11/2+(L98="Claro")*'Critérios e pesos'!$G$12+(L98="Em parte")*'Critérios e pesos'!$G$12/2+(M98="Claro")*'Critérios e pesos'!$G$13+(M98="Em parte")*'Critérios e pesos'!$G$13/2)</f>
        <v/>
      </c>
      <c r="R98" s="14">
        <f>IF($B98="","",IFERROR(VLOOKUP(N98,'Critérios e pesos'!$B$17:$C$20,2,FALSE),0))</f>
        <v/>
      </c>
      <c r="S98" s="9">
        <f>IF($B98="","",MAX(0,P98+Q98+R98))</f>
        <v/>
      </c>
      <c r="T98" s="9">
        <f>IF($B98="","",IF(O98&lt;&gt;"","X",IF(S98&gt;='Critérios e pesos'!$C$29,"A",IF(S98&gt;='Critérios e pesos'!$C$30,"B","C"))))</f>
        <v/>
      </c>
      <c r="U98" s="14">
        <f>IF(T98="","",INDEX('Critérios e pesos'!$D$29:$D$32,MATCH(T98,'Critérios e pesos'!$A$29:$A$32,0)))</f>
        <v/>
      </c>
      <c r="V98" s="14">
        <f>IF(T98="","",INDEX('Critérios e pesos'!$F$29:$F$32,MATCH(T98,'Critérios e pesos'!$A$29:$A$32,0)))</f>
        <v/>
      </c>
      <c r="W98" s="15">
        <f>IF(OR(AH98="",AJ98=""),"",IF(AI98+AJ98*60&lt;=ROUND('Critérios e pesos'!$C$37*1440,0),INT(AH98)+(AI98+AJ98*60)/1440,WORKDAY(INT(AH98),1+INT((AI98+AJ98*60-ROUND('Critérios e pesos'!$C$37*1440,0)-1)/(ROUND('Critérios e pesos'!$C$37*1440,0)-ROUND('Critérios e pesos'!$C$36*1440,0))))+(ROUND('Critérios e pesos'!$C$36*1440,0)+AI98+AJ98*60-ROUND('Critérios e pesos'!$C$37*1440,0)-INT((AI98+AJ98*60-ROUND('Critérios e pesos'!$C$37*1440,0)-1)/(ROUND('Critérios e pesos'!$C$37*1440,0)-ROUND('Critérios e pesos'!$C$36*1440,0)))*(ROUND('Critérios e pesos'!$C$37*1440,0)-ROUND('Critérios e pesos'!$C$36*1440,0)))/1440))</f>
        <v/>
      </c>
      <c r="X98" s="16" t="n"/>
      <c r="Y98" s="14">
        <f>IF(W98="","",IF(X98="",IF(NOW()&gt;W98,"Atrasado","Em espera"),IF(X98&lt;=W98,"No prazo","Atrasado")))</f>
        <v/>
      </c>
      <c r="Z98" s="17" t="n"/>
      <c r="AA98" s="14">
        <f>IF($B98="","",IF(OR(T98="X",AD98&lt;&gt;""),0,MAX(0,MIN(Q98,'Critérios e pesos'!$C$38*INT((TODAY()-IF(Z98&lt;&gt;"",Z98,INT($A98)))/7)))))</f>
        <v/>
      </c>
      <c r="AB98" s="14">
        <f>IF($B98="","",MAX(0,S98-AA98))</f>
        <v/>
      </c>
      <c r="AC98" s="9">
        <f>IF($B98="","",IF(T98="X","X",IF(AB98&gt;='Critérios e pesos'!$C$29,"A",IF(AB98&gt;='Critérios e pesos'!$C$30,"B","C"))))</f>
        <v/>
      </c>
      <c r="AD98" s="4" t="n"/>
      <c r="AE98" s="18" t="n"/>
      <c r="AF98" s="6" t="n"/>
      <c r="AH98">
        <f>IF($A98="","",IF(OR(WEEKDAY($A98,2)&gt;5,ROUND(MOD($A98,1)*1440,0)&gt;=ROUND('Critérios e pesos'!$C$37*1440,0)),WORKDAY(INT($A98),1)+ROUND('Critérios e pesos'!$C$36*1440,0)/1440,IF(ROUND(MOD($A98,1)*1440,0)&lt;ROUND('Critérios e pesos'!$C$36*1440,0),INT($A98)+ROUND('Critérios e pesos'!$C$36*1440,0)/1440,$A98)))</f>
        <v/>
      </c>
      <c r="AI98">
        <f>IF(AH98="","",ROUND(MOD(AH98,1)*1440,0))</f>
        <v/>
      </c>
      <c r="AJ98">
        <f>IF(T98="","",INDEX('Critérios e pesos'!$E$29:$E$32,MATCH(T98,'Critérios e pesos'!$A$29:$A$32,0)))</f>
        <v/>
      </c>
    </row>
    <row r="99">
      <c r="A99" s="13" t="n"/>
      <c r="B99" s="6" t="n"/>
      <c r="C99" s="6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6" t="n"/>
      <c r="O99" s="6" t="n"/>
      <c r="P99" s="14">
        <f>IF($B99="","",(E99="Claro")*'Critérios e pesos'!$G$5+(E99="Em parte")*'Critérios e pesos'!$G$5/2+(F99="Claro")*'Critérios e pesos'!$G$6+(F99="Em parte")*'Critérios e pesos'!$G$6/2+(G99="Claro")*'Critérios e pesos'!$G$7+(G99="Em parte")*'Critérios e pesos'!$G$7/2+(H99="Claro")*'Critérios e pesos'!$G$8+(H99="Em parte")*'Critérios e pesos'!$G$8/2)</f>
        <v/>
      </c>
      <c r="Q99" s="14">
        <f>IF($B99="","",(I99="Claro")*'Critérios e pesos'!$G$9+(I99="Em parte")*'Critérios e pesos'!$G$9/2+(J99="Claro")*'Critérios e pesos'!$G$10+(J99="Em parte")*'Critérios e pesos'!$G$10/2+(K99="Claro")*'Critérios e pesos'!$G$11+(K99="Em parte")*'Critérios e pesos'!$G$11/2+(L99="Claro")*'Critérios e pesos'!$G$12+(L99="Em parte")*'Critérios e pesos'!$G$12/2+(M99="Claro")*'Critérios e pesos'!$G$13+(M99="Em parte")*'Critérios e pesos'!$G$13/2)</f>
        <v/>
      </c>
      <c r="R99" s="14">
        <f>IF($B99="","",IFERROR(VLOOKUP(N99,'Critérios e pesos'!$B$17:$C$20,2,FALSE),0))</f>
        <v/>
      </c>
      <c r="S99" s="9">
        <f>IF($B99="","",MAX(0,P99+Q99+R99))</f>
        <v/>
      </c>
      <c r="T99" s="9">
        <f>IF($B99="","",IF(O99&lt;&gt;"","X",IF(S99&gt;='Critérios e pesos'!$C$29,"A",IF(S99&gt;='Critérios e pesos'!$C$30,"B","C"))))</f>
        <v/>
      </c>
      <c r="U99" s="14">
        <f>IF(T99="","",INDEX('Critérios e pesos'!$D$29:$D$32,MATCH(T99,'Critérios e pesos'!$A$29:$A$32,0)))</f>
        <v/>
      </c>
      <c r="V99" s="14">
        <f>IF(T99="","",INDEX('Critérios e pesos'!$F$29:$F$32,MATCH(T99,'Critérios e pesos'!$A$29:$A$32,0)))</f>
        <v/>
      </c>
      <c r="W99" s="15">
        <f>IF(OR(AH99="",AJ99=""),"",IF(AI99+AJ99*60&lt;=ROUND('Critérios e pesos'!$C$37*1440,0),INT(AH99)+(AI99+AJ99*60)/1440,WORKDAY(INT(AH99),1+INT((AI99+AJ99*60-ROUND('Critérios e pesos'!$C$37*1440,0)-1)/(ROUND('Critérios e pesos'!$C$37*1440,0)-ROUND('Critérios e pesos'!$C$36*1440,0))))+(ROUND('Critérios e pesos'!$C$36*1440,0)+AI99+AJ99*60-ROUND('Critérios e pesos'!$C$37*1440,0)-INT((AI99+AJ99*60-ROUND('Critérios e pesos'!$C$37*1440,0)-1)/(ROUND('Critérios e pesos'!$C$37*1440,0)-ROUND('Critérios e pesos'!$C$36*1440,0)))*(ROUND('Critérios e pesos'!$C$37*1440,0)-ROUND('Critérios e pesos'!$C$36*1440,0)))/1440))</f>
        <v/>
      </c>
      <c r="X99" s="16" t="n"/>
      <c r="Y99" s="14">
        <f>IF(W99="","",IF(X99="",IF(NOW()&gt;W99,"Atrasado","Em espera"),IF(X99&lt;=W99,"No prazo","Atrasado")))</f>
        <v/>
      </c>
      <c r="Z99" s="17" t="n"/>
      <c r="AA99" s="14">
        <f>IF($B99="","",IF(OR(T99="X",AD99&lt;&gt;""),0,MAX(0,MIN(Q99,'Critérios e pesos'!$C$38*INT((TODAY()-IF(Z99&lt;&gt;"",Z99,INT($A99)))/7)))))</f>
        <v/>
      </c>
      <c r="AB99" s="14">
        <f>IF($B99="","",MAX(0,S99-AA99))</f>
        <v/>
      </c>
      <c r="AC99" s="9">
        <f>IF($B99="","",IF(T99="X","X",IF(AB99&gt;='Critérios e pesos'!$C$29,"A",IF(AB99&gt;='Critérios e pesos'!$C$30,"B","C"))))</f>
        <v/>
      </c>
      <c r="AD99" s="4" t="n"/>
      <c r="AE99" s="18" t="n"/>
      <c r="AF99" s="6" t="n"/>
      <c r="AH99">
        <f>IF($A99="","",IF(OR(WEEKDAY($A99,2)&gt;5,ROUND(MOD($A99,1)*1440,0)&gt;=ROUND('Critérios e pesos'!$C$37*1440,0)),WORKDAY(INT($A99),1)+ROUND('Critérios e pesos'!$C$36*1440,0)/1440,IF(ROUND(MOD($A99,1)*1440,0)&lt;ROUND('Critérios e pesos'!$C$36*1440,0),INT($A99)+ROUND('Critérios e pesos'!$C$36*1440,0)/1440,$A99)))</f>
        <v/>
      </c>
      <c r="AI99">
        <f>IF(AH99="","",ROUND(MOD(AH99,1)*1440,0))</f>
        <v/>
      </c>
      <c r="AJ99">
        <f>IF(T99="","",INDEX('Critérios e pesos'!$E$29:$E$32,MATCH(T99,'Critérios e pesos'!$A$29:$A$32,0)))</f>
        <v/>
      </c>
    </row>
    <row r="100">
      <c r="A100" s="13" t="n"/>
      <c r="B100" s="6" t="n"/>
      <c r="C100" s="6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6" t="n"/>
      <c r="O100" s="6" t="n"/>
      <c r="P100" s="14">
        <f>IF($B100="","",(E100="Claro")*'Critérios e pesos'!$G$5+(E100="Em parte")*'Critérios e pesos'!$G$5/2+(F100="Claro")*'Critérios e pesos'!$G$6+(F100="Em parte")*'Critérios e pesos'!$G$6/2+(G100="Claro")*'Critérios e pesos'!$G$7+(G100="Em parte")*'Critérios e pesos'!$G$7/2+(H100="Claro")*'Critérios e pesos'!$G$8+(H100="Em parte")*'Critérios e pesos'!$G$8/2)</f>
        <v/>
      </c>
      <c r="Q100" s="14">
        <f>IF($B100="","",(I100="Claro")*'Critérios e pesos'!$G$9+(I100="Em parte")*'Critérios e pesos'!$G$9/2+(J100="Claro")*'Critérios e pesos'!$G$10+(J100="Em parte")*'Critérios e pesos'!$G$10/2+(K100="Claro")*'Critérios e pesos'!$G$11+(K100="Em parte")*'Critérios e pesos'!$G$11/2+(L100="Claro")*'Critérios e pesos'!$G$12+(L100="Em parte")*'Critérios e pesos'!$G$12/2+(M100="Claro")*'Critérios e pesos'!$G$13+(M100="Em parte")*'Critérios e pesos'!$G$13/2)</f>
        <v/>
      </c>
      <c r="R100" s="14">
        <f>IF($B100="","",IFERROR(VLOOKUP(N100,'Critérios e pesos'!$B$17:$C$20,2,FALSE),0))</f>
        <v/>
      </c>
      <c r="S100" s="9">
        <f>IF($B100="","",MAX(0,P100+Q100+R100))</f>
        <v/>
      </c>
      <c r="T100" s="9">
        <f>IF($B100="","",IF(O100&lt;&gt;"","X",IF(S100&gt;='Critérios e pesos'!$C$29,"A",IF(S100&gt;='Critérios e pesos'!$C$30,"B","C"))))</f>
        <v/>
      </c>
      <c r="U100" s="14">
        <f>IF(T100="","",INDEX('Critérios e pesos'!$D$29:$D$32,MATCH(T100,'Critérios e pesos'!$A$29:$A$32,0)))</f>
        <v/>
      </c>
      <c r="V100" s="14">
        <f>IF(T100="","",INDEX('Critérios e pesos'!$F$29:$F$32,MATCH(T100,'Critérios e pesos'!$A$29:$A$32,0)))</f>
        <v/>
      </c>
      <c r="W100" s="15">
        <f>IF(OR(AH100="",AJ100=""),"",IF(AI100+AJ100*60&lt;=ROUND('Critérios e pesos'!$C$37*1440,0),INT(AH100)+(AI100+AJ100*60)/1440,WORKDAY(INT(AH100),1+INT((AI100+AJ100*60-ROUND('Critérios e pesos'!$C$37*1440,0)-1)/(ROUND('Critérios e pesos'!$C$37*1440,0)-ROUND('Critérios e pesos'!$C$36*1440,0))))+(ROUND('Critérios e pesos'!$C$36*1440,0)+AI100+AJ100*60-ROUND('Critérios e pesos'!$C$37*1440,0)-INT((AI100+AJ100*60-ROUND('Critérios e pesos'!$C$37*1440,0)-1)/(ROUND('Critérios e pesos'!$C$37*1440,0)-ROUND('Critérios e pesos'!$C$36*1440,0)))*(ROUND('Critérios e pesos'!$C$37*1440,0)-ROUND('Critérios e pesos'!$C$36*1440,0)))/1440))</f>
        <v/>
      </c>
      <c r="X100" s="16" t="n"/>
      <c r="Y100" s="14">
        <f>IF(W100="","",IF(X100="",IF(NOW()&gt;W100,"Atrasado","Em espera"),IF(X100&lt;=W100,"No prazo","Atrasado")))</f>
        <v/>
      </c>
      <c r="Z100" s="17" t="n"/>
      <c r="AA100" s="14">
        <f>IF($B100="","",IF(OR(T100="X",AD100&lt;&gt;""),0,MAX(0,MIN(Q100,'Critérios e pesos'!$C$38*INT((TODAY()-IF(Z100&lt;&gt;"",Z100,INT($A100)))/7)))))</f>
        <v/>
      </c>
      <c r="AB100" s="14">
        <f>IF($B100="","",MAX(0,S100-AA100))</f>
        <v/>
      </c>
      <c r="AC100" s="9">
        <f>IF($B100="","",IF(T100="X","X",IF(AB100&gt;='Critérios e pesos'!$C$29,"A",IF(AB100&gt;='Critérios e pesos'!$C$30,"B","C"))))</f>
        <v/>
      </c>
      <c r="AD100" s="4" t="n"/>
      <c r="AE100" s="18" t="n"/>
      <c r="AF100" s="6" t="n"/>
      <c r="AH100">
        <f>IF($A100="","",IF(OR(WEEKDAY($A100,2)&gt;5,ROUND(MOD($A100,1)*1440,0)&gt;=ROUND('Critérios e pesos'!$C$37*1440,0)),WORKDAY(INT($A100),1)+ROUND('Critérios e pesos'!$C$36*1440,0)/1440,IF(ROUND(MOD($A100,1)*1440,0)&lt;ROUND('Critérios e pesos'!$C$36*1440,0),INT($A100)+ROUND('Critérios e pesos'!$C$36*1440,0)/1440,$A100)))</f>
        <v/>
      </c>
      <c r="AI100">
        <f>IF(AH100="","",ROUND(MOD(AH100,1)*1440,0))</f>
        <v/>
      </c>
      <c r="AJ100">
        <f>IF(T100="","",INDEX('Critérios e pesos'!$E$29:$E$32,MATCH(T100,'Critérios e pesos'!$A$29:$A$32,0)))</f>
        <v/>
      </c>
    </row>
    <row r="101">
      <c r="A101" s="13" t="n"/>
      <c r="B101" s="6" t="n"/>
      <c r="C101" s="6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6" t="n"/>
      <c r="O101" s="6" t="n"/>
      <c r="P101" s="14">
        <f>IF($B101="","",(E101="Claro")*'Critérios e pesos'!$G$5+(E101="Em parte")*'Critérios e pesos'!$G$5/2+(F101="Claro")*'Critérios e pesos'!$G$6+(F101="Em parte")*'Critérios e pesos'!$G$6/2+(G101="Claro")*'Critérios e pesos'!$G$7+(G101="Em parte")*'Critérios e pesos'!$G$7/2+(H101="Claro")*'Critérios e pesos'!$G$8+(H101="Em parte")*'Critérios e pesos'!$G$8/2)</f>
        <v/>
      </c>
      <c r="Q101" s="14">
        <f>IF($B101="","",(I101="Claro")*'Critérios e pesos'!$G$9+(I101="Em parte")*'Critérios e pesos'!$G$9/2+(J101="Claro")*'Critérios e pesos'!$G$10+(J101="Em parte")*'Critérios e pesos'!$G$10/2+(K101="Claro")*'Critérios e pesos'!$G$11+(K101="Em parte")*'Critérios e pesos'!$G$11/2+(L101="Claro")*'Critérios e pesos'!$G$12+(L101="Em parte")*'Critérios e pesos'!$G$12/2+(M101="Claro")*'Critérios e pesos'!$G$13+(M101="Em parte")*'Critérios e pesos'!$G$13/2)</f>
        <v/>
      </c>
      <c r="R101" s="14">
        <f>IF($B101="","",IFERROR(VLOOKUP(N101,'Critérios e pesos'!$B$17:$C$20,2,FALSE),0))</f>
        <v/>
      </c>
      <c r="S101" s="9">
        <f>IF($B101="","",MAX(0,P101+Q101+R101))</f>
        <v/>
      </c>
      <c r="T101" s="9">
        <f>IF($B101="","",IF(O101&lt;&gt;"","X",IF(S101&gt;='Critérios e pesos'!$C$29,"A",IF(S101&gt;='Critérios e pesos'!$C$30,"B","C"))))</f>
        <v/>
      </c>
      <c r="U101" s="14">
        <f>IF(T101="","",INDEX('Critérios e pesos'!$D$29:$D$32,MATCH(T101,'Critérios e pesos'!$A$29:$A$32,0)))</f>
        <v/>
      </c>
      <c r="V101" s="14">
        <f>IF(T101="","",INDEX('Critérios e pesos'!$F$29:$F$32,MATCH(T101,'Critérios e pesos'!$A$29:$A$32,0)))</f>
        <v/>
      </c>
      <c r="W101" s="15">
        <f>IF(OR(AH101="",AJ101=""),"",IF(AI101+AJ101*60&lt;=ROUND('Critérios e pesos'!$C$37*1440,0),INT(AH101)+(AI101+AJ101*60)/1440,WORKDAY(INT(AH101),1+INT((AI101+AJ101*60-ROUND('Critérios e pesos'!$C$37*1440,0)-1)/(ROUND('Critérios e pesos'!$C$37*1440,0)-ROUND('Critérios e pesos'!$C$36*1440,0))))+(ROUND('Critérios e pesos'!$C$36*1440,0)+AI101+AJ101*60-ROUND('Critérios e pesos'!$C$37*1440,0)-INT((AI101+AJ101*60-ROUND('Critérios e pesos'!$C$37*1440,0)-1)/(ROUND('Critérios e pesos'!$C$37*1440,0)-ROUND('Critérios e pesos'!$C$36*1440,0)))*(ROUND('Critérios e pesos'!$C$37*1440,0)-ROUND('Critérios e pesos'!$C$36*1440,0)))/1440))</f>
        <v/>
      </c>
      <c r="X101" s="16" t="n"/>
      <c r="Y101" s="14">
        <f>IF(W101="","",IF(X101="",IF(NOW()&gt;W101,"Atrasado","Em espera"),IF(X101&lt;=W101,"No prazo","Atrasado")))</f>
        <v/>
      </c>
      <c r="Z101" s="17" t="n"/>
      <c r="AA101" s="14">
        <f>IF($B101="","",IF(OR(T101="X",AD101&lt;&gt;""),0,MAX(0,MIN(Q101,'Critérios e pesos'!$C$38*INT((TODAY()-IF(Z101&lt;&gt;"",Z101,INT($A101)))/7)))))</f>
        <v/>
      </c>
      <c r="AB101" s="14">
        <f>IF($B101="","",MAX(0,S101-AA101))</f>
        <v/>
      </c>
      <c r="AC101" s="9">
        <f>IF($B101="","",IF(T101="X","X",IF(AB101&gt;='Critérios e pesos'!$C$29,"A",IF(AB101&gt;='Critérios e pesos'!$C$30,"B","C"))))</f>
        <v/>
      </c>
      <c r="AD101" s="4" t="n"/>
      <c r="AE101" s="18" t="n"/>
      <c r="AF101" s="6" t="n"/>
      <c r="AH101">
        <f>IF($A101="","",IF(OR(WEEKDAY($A101,2)&gt;5,ROUND(MOD($A101,1)*1440,0)&gt;=ROUND('Critérios e pesos'!$C$37*1440,0)),WORKDAY(INT($A101),1)+ROUND('Critérios e pesos'!$C$36*1440,0)/1440,IF(ROUND(MOD($A101,1)*1440,0)&lt;ROUND('Critérios e pesos'!$C$36*1440,0),INT($A101)+ROUND('Critérios e pesos'!$C$36*1440,0)/1440,$A101)))</f>
        <v/>
      </c>
      <c r="AI101">
        <f>IF(AH101="","",ROUND(MOD(AH101,1)*1440,0))</f>
        <v/>
      </c>
      <c r="AJ101">
        <f>IF(T101="","",INDEX('Critérios e pesos'!$E$29:$E$32,MATCH(T101,'Critérios e pesos'!$A$29:$A$32,0)))</f>
        <v/>
      </c>
    </row>
    <row r="102">
      <c r="A102" s="13" t="n"/>
      <c r="B102" s="6" t="n"/>
      <c r="C102" s="6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6" t="n"/>
      <c r="O102" s="6" t="n"/>
      <c r="P102" s="14">
        <f>IF($B102="","",(E102="Claro")*'Critérios e pesos'!$G$5+(E102="Em parte")*'Critérios e pesos'!$G$5/2+(F102="Claro")*'Critérios e pesos'!$G$6+(F102="Em parte")*'Critérios e pesos'!$G$6/2+(G102="Claro")*'Critérios e pesos'!$G$7+(G102="Em parte")*'Critérios e pesos'!$G$7/2+(H102="Claro")*'Critérios e pesos'!$G$8+(H102="Em parte")*'Critérios e pesos'!$G$8/2)</f>
        <v/>
      </c>
      <c r="Q102" s="14">
        <f>IF($B102="","",(I102="Claro")*'Critérios e pesos'!$G$9+(I102="Em parte")*'Critérios e pesos'!$G$9/2+(J102="Claro")*'Critérios e pesos'!$G$10+(J102="Em parte")*'Critérios e pesos'!$G$10/2+(K102="Claro")*'Critérios e pesos'!$G$11+(K102="Em parte")*'Critérios e pesos'!$G$11/2+(L102="Claro")*'Critérios e pesos'!$G$12+(L102="Em parte")*'Critérios e pesos'!$G$12/2+(M102="Claro")*'Critérios e pesos'!$G$13+(M102="Em parte")*'Critérios e pesos'!$G$13/2)</f>
        <v/>
      </c>
      <c r="R102" s="14">
        <f>IF($B102="","",IFERROR(VLOOKUP(N102,'Critérios e pesos'!$B$17:$C$20,2,FALSE),0))</f>
        <v/>
      </c>
      <c r="S102" s="9">
        <f>IF($B102="","",MAX(0,P102+Q102+R102))</f>
        <v/>
      </c>
      <c r="T102" s="9">
        <f>IF($B102="","",IF(O102&lt;&gt;"","X",IF(S102&gt;='Critérios e pesos'!$C$29,"A",IF(S102&gt;='Critérios e pesos'!$C$30,"B","C"))))</f>
        <v/>
      </c>
      <c r="U102" s="14">
        <f>IF(T102="","",INDEX('Critérios e pesos'!$D$29:$D$32,MATCH(T102,'Critérios e pesos'!$A$29:$A$32,0)))</f>
        <v/>
      </c>
      <c r="V102" s="14">
        <f>IF(T102="","",INDEX('Critérios e pesos'!$F$29:$F$32,MATCH(T102,'Critérios e pesos'!$A$29:$A$32,0)))</f>
        <v/>
      </c>
      <c r="W102" s="15">
        <f>IF(OR(AH102="",AJ102=""),"",IF(AI102+AJ102*60&lt;=ROUND('Critérios e pesos'!$C$37*1440,0),INT(AH102)+(AI102+AJ102*60)/1440,WORKDAY(INT(AH102),1+INT((AI102+AJ102*60-ROUND('Critérios e pesos'!$C$37*1440,0)-1)/(ROUND('Critérios e pesos'!$C$37*1440,0)-ROUND('Critérios e pesos'!$C$36*1440,0))))+(ROUND('Critérios e pesos'!$C$36*1440,0)+AI102+AJ102*60-ROUND('Critérios e pesos'!$C$37*1440,0)-INT((AI102+AJ102*60-ROUND('Critérios e pesos'!$C$37*1440,0)-1)/(ROUND('Critérios e pesos'!$C$37*1440,0)-ROUND('Critérios e pesos'!$C$36*1440,0)))*(ROUND('Critérios e pesos'!$C$37*1440,0)-ROUND('Critérios e pesos'!$C$36*1440,0)))/1440))</f>
        <v/>
      </c>
      <c r="X102" s="16" t="n"/>
      <c r="Y102" s="14">
        <f>IF(W102="","",IF(X102="",IF(NOW()&gt;W102,"Atrasado","Em espera"),IF(X102&lt;=W102,"No prazo","Atrasado")))</f>
        <v/>
      </c>
      <c r="Z102" s="17" t="n"/>
      <c r="AA102" s="14">
        <f>IF($B102="","",IF(OR(T102="X",AD102&lt;&gt;""),0,MAX(0,MIN(Q102,'Critérios e pesos'!$C$38*INT((TODAY()-IF(Z102&lt;&gt;"",Z102,INT($A102)))/7)))))</f>
        <v/>
      </c>
      <c r="AB102" s="14">
        <f>IF($B102="","",MAX(0,S102-AA102))</f>
        <v/>
      </c>
      <c r="AC102" s="9">
        <f>IF($B102="","",IF(T102="X","X",IF(AB102&gt;='Critérios e pesos'!$C$29,"A",IF(AB102&gt;='Critérios e pesos'!$C$30,"B","C"))))</f>
        <v/>
      </c>
      <c r="AD102" s="4" t="n"/>
      <c r="AE102" s="18" t="n"/>
      <c r="AF102" s="6" t="n"/>
      <c r="AH102">
        <f>IF($A102="","",IF(OR(WEEKDAY($A102,2)&gt;5,ROUND(MOD($A102,1)*1440,0)&gt;=ROUND('Critérios e pesos'!$C$37*1440,0)),WORKDAY(INT($A102),1)+ROUND('Critérios e pesos'!$C$36*1440,0)/1440,IF(ROUND(MOD($A102,1)*1440,0)&lt;ROUND('Critérios e pesos'!$C$36*1440,0),INT($A102)+ROUND('Critérios e pesos'!$C$36*1440,0)/1440,$A102)))</f>
        <v/>
      </c>
      <c r="AI102">
        <f>IF(AH102="","",ROUND(MOD(AH102,1)*1440,0))</f>
        <v/>
      </c>
      <c r="AJ102">
        <f>IF(T102="","",INDEX('Critérios e pesos'!$E$29:$E$32,MATCH(T102,'Critérios e pesos'!$A$29:$A$32,0)))</f>
        <v/>
      </c>
    </row>
    <row r="103">
      <c r="A103" s="13" t="n"/>
      <c r="B103" s="6" t="n"/>
      <c r="C103" s="6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6" t="n"/>
      <c r="O103" s="6" t="n"/>
      <c r="P103" s="14">
        <f>IF($B103="","",(E103="Claro")*'Critérios e pesos'!$G$5+(E103="Em parte")*'Critérios e pesos'!$G$5/2+(F103="Claro")*'Critérios e pesos'!$G$6+(F103="Em parte")*'Critérios e pesos'!$G$6/2+(G103="Claro")*'Critérios e pesos'!$G$7+(G103="Em parte")*'Critérios e pesos'!$G$7/2+(H103="Claro")*'Critérios e pesos'!$G$8+(H103="Em parte")*'Critérios e pesos'!$G$8/2)</f>
        <v/>
      </c>
      <c r="Q103" s="14">
        <f>IF($B103="","",(I103="Claro")*'Critérios e pesos'!$G$9+(I103="Em parte")*'Critérios e pesos'!$G$9/2+(J103="Claro")*'Critérios e pesos'!$G$10+(J103="Em parte")*'Critérios e pesos'!$G$10/2+(K103="Claro")*'Critérios e pesos'!$G$11+(K103="Em parte")*'Critérios e pesos'!$G$11/2+(L103="Claro")*'Critérios e pesos'!$G$12+(L103="Em parte")*'Critérios e pesos'!$G$12/2+(M103="Claro")*'Critérios e pesos'!$G$13+(M103="Em parte")*'Critérios e pesos'!$G$13/2)</f>
        <v/>
      </c>
      <c r="R103" s="14">
        <f>IF($B103="","",IFERROR(VLOOKUP(N103,'Critérios e pesos'!$B$17:$C$20,2,FALSE),0))</f>
        <v/>
      </c>
      <c r="S103" s="9">
        <f>IF($B103="","",MAX(0,P103+Q103+R103))</f>
        <v/>
      </c>
      <c r="T103" s="9">
        <f>IF($B103="","",IF(O103&lt;&gt;"","X",IF(S103&gt;='Critérios e pesos'!$C$29,"A",IF(S103&gt;='Critérios e pesos'!$C$30,"B","C"))))</f>
        <v/>
      </c>
      <c r="U103" s="14">
        <f>IF(T103="","",INDEX('Critérios e pesos'!$D$29:$D$32,MATCH(T103,'Critérios e pesos'!$A$29:$A$32,0)))</f>
        <v/>
      </c>
      <c r="V103" s="14">
        <f>IF(T103="","",INDEX('Critérios e pesos'!$F$29:$F$32,MATCH(T103,'Critérios e pesos'!$A$29:$A$32,0)))</f>
        <v/>
      </c>
      <c r="W103" s="15">
        <f>IF(OR(AH103="",AJ103=""),"",IF(AI103+AJ103*60&lt;=ROUND('Critérios e pesos'!$C$37*1440,0),INT(AH103)+(AI103+AJ103*60)/1440,WORKDAY(INT(AH103),1+INT((AI103+AJ103*60-ROUND('Critérios e pesos'!$C$37*1440,0)-1)/(ROUND('Critérios e pesos'!$C$37*1440,0)-ROUND('Critérios e pesos'!$C$36*1440,0))))+(ROUND('Critérios e pesos'!$C$36*1440,0)+AI103+AJ103*60-ROUND('Critérios e pesos'!$C$37*1440,0)-INT((AI103+AJ103*60-ROUND('Critérios e pesos'!$C$37*1440,0)-1)/(ROUND('Critérios e pesos'!$C$37*1440,0)-ROUND('Critérios e pesos'!$C$36*1440,0)))*(ROUND('Critérios e pesos'!$C$37*1440,0)-ROUND('Critérios e pesos'!$C$36*1440,0)))/1440))</f>
        <v/>
      </c>
      <c r="X103" s="16" t="n"/>
      <c r="Y103" s="14">
        <f>IF(W103="","",IF(X103="",IF(NOW()&gt;W103,"Atrasado","Em espera"),IF(X103&lt;=W103,"No prazo","Atrasado")))</f>
        <v/>
      </c>
      <c r="Z103" s="17" t="n"/>
      <c r="AA103" s="14">
        <f>IF($B103="","",IF(OR(T103="X",AD103&lt;&gt;""),0,MAX(0,MIN(Q103,'Critérios e pesos'!$C$38*INT((TODAY()-IF(Z103&lt;&gt;"",Z103,INT($A103)))/7)))))</f>
        <v/>
      </c>
      <c r="AB103" s="14">
        <f>IF($B103="","",MAX(0,S103-AA103))</f>
        <v/>
      </c>
      <c r="AC103" s="9">
        <f>IF($B103="","",IF(T103="X","X",IF(AB103&gt;='Critérios e pesos'!$C$29,"A",IF(AB103&gt;='Critérios e pesos'!$C$30,"B","C"))))</f>
        <v/>
      </c>
      <c r="AD103" s="4" t="n"/>
      <c r="AE103" s="18" t="n"/>
      <c r="AF103" s="6" t="n"/>
      <c r="AH103">
        <f>IF($A103="","",IF(OR(WEEKDAY($A103,2)&gt;5,ROUND(MOD($A103,1)*1440,0)&gt;=ROUND('Critérios e pesos'!$C$37*1440,0)),WORKDAY(INT($A103),1)+ROUND('Critérios e pesos'!$C$36*1440,0)/1440,IF(ROUND(MOD($A103,1)*1440,0)&lt;ROUND('Critérios e pesos'!$C$36*1440,0),INT($A103)+ROUND('Critérios e pesos'!$C$36*1440,0)/1440,$A103)))</f>
        <v/>
      </c>
      <c r="AI103">
        <f>IF(AH103="","",ROUND(MOD(AH103,1)*1440,0))</f>
        <v/>
      </c>
      <c r="AJ103">
        <f>IF(T103="","",INDEX('Critérios e pesos'!$E$29:$E$32,MATCH(T103,'Critérios e pesos'!$A$29:$A$32,0)))</f>
        <v/>
      </c>
    </row>
    <row r="104">
      <c r="A104" s="13" t="n"/>
      <c r="B104" s="6" t="n"/>
      <c r="C104" s="6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6" t="n"/>
      <c r="O104" s="6" t="n"/>
      <c r="P104" s="14">
        <f>IF($B104="","",(E104="Claro")*'Critérios e pesos'!$G$5+(E104="Em parte")*'Critérios e pesos'!$G$5/2+(F104="Claro")*'Critérios e pesos'!$G$6+(F104="Em parte")*'Critérios e pesos'!$G$6/2+(G104="Claro")*'Critérios e pesos'!$G$7+(G104="Em parte")*'Critérios e pesos'!$G$7/2+(H104="Claro")*'Critérios e pesos'!$G$8+(H104="Em parte")*'Critérios e pesos'!$G$8/2)</f>
        <v/>
      </c>
      <c r="Q104" s="14">
        <f>IF($B104="","",(I104="Claro")*'Critérios e pesos'!$G$9+(I104="Em parte")*'Critérios e pesos'!$G$9/2+(J104="Claro")*'Critérios e pesos'!$G$10+(J104="Em parte")*'Critérios e pesos'!$G$10/2+(K104="Claro")*'Critérios e pesos'!$G$11+(K104="Em parte")*'Critérios e pesos'!$G$11/2+(L104="Claro")*'Critérios e pesos'!$G$12+(L104="Em parte")*'Critérios e pesos'!$G$12/2+(M104="Claro")*'Critérios e pesos'!$G$13+(M104="Em parte")*'Critérios e pesos'!$G$13/2)</f>
        <v/>
      </c>
      <c r="R104" s="14">
        <f>IF($B104="","",IFERROR(VLOOKUP(N104,'Critérios e pesos'!$B$17:$C$20,2,FALSE),0))</f>
        <v/>
      </c>
      <c r="S104" s="9">
        <f>IF($B104="","",MAX(0,P104+Q104+R104))</f>
        <v/>
      </c>
      <c r="T104" s="9">
        <f>IF($B104="","",IF(O104&lt;&gt;"","X",IF(S104&gt;='Critérios e pesos'!$C$29,"A",IF(S104&gt;='Critérios e pesos'!$C$30,"B","C"))))</f>
        <v/>
      </c>
      <c r="U104" s="14">
        <f>IF(T104="","",INDEX('Critérios e pesos'!$D$29:$D$32,MATCH(T104,'Critérios e pesos'!$A$29:$A$32,0)))</f>
        <v/>
      </c>
      <c r="V104" s="14">
        <f>IF(T104="","",INDEX('Critérios e pesos'!$F$29:$F$32,MATCH(T104,'Critérios e pesos'!$A$29:$A$32,0)))</f>
        <v/>
      </c>
      <c r="W104" s="15">
        <f>IF(OR(AH104="",AJ104=""),"",IF(AI104+AJ104*60&lt;=ROUND('Critérios e pesos'!$C$37*1440,0),INT(AH104)+(AI104+AJ104*60)/1440,WORKDAY(INT(AH104),1+INT((AI104+AJ104*60-ROUND('Critérios e pesos'!$C$37*1440,0)-1)/(ROUND('Critérios e pesos'!$C$37*1440,0)-ROUND('Critérios e pesos'!$C$36*1440,0))))+(ROUND('Critérios e pesos'!$C$36*1440,0)+AI104+AJ104*60-ROUND('Critérios e pesos'!$C$37*1440,0)-INT((AI104+AJ104*60-ROUND('Critérios e pesos'!$C$37*1440,0)-1)/(ROUND('Critérios e pesos'!$C$37*1440,0)-ROUND('Critérios e pesos'!$C$36*1440,0)))*(ROUND('Critérios e pesos'!$C$37*1440,0)-ROUND('Critérios e pesos'!$C$36*1440,0)))/1440))</f>
        <v/>
      </c>
      <c r="X104" s="16" t="n"/>
      <c r="Y104" s="14">
        <f>IF(W104="","",IF(X104="",IF(NOW()&gt;W104,"Atrasado","Em espera"),IF(X104&lt;=W104,"No prazo","Atrasado")))</f>
        <v/>
      </c>
      <c r="Z104" s="17" t="n"/>
      <c r="AA104" s="14">
        <f>IF($B104="","",IF(OR(T104="X",AD104&lt;&gt;""),0,MAX(0,MIN(Q104,'Critérios e pesos'!$C$38*INT((TODAY()-IF(Z104&lt;&gt;"",Z104,INT($A104)))/7)))))</f>
        <v/>
      </c>
      <c r="AB104" s="14">
        <f>IF($B104="","",MAX(0,S104-AA104))</f>
        <v/>
      </c>
      <c r="AC104" s="9">
        <f>IF($B104="","",IF(T104="X","X",IF(AB104&gt;='Critérios e pesos'!$C$29,"A",IF(AB104&gt;='Critérios e pesos'!$C$30,"B","C"))))</f>
        <v/>
      </c>
      <c r="AD104" s="4" t="n"/>
      <c r="AE104" s="18" t="n"/>
      <c r="AF104" s="6" t="n"/>
      <c r="AH104">
        <f>IF($A104="","",IF(OR(WEEKDAY($A104,2)&gt;5,ROUND(MOD($A104,1)*1440,0)&gt;=ROUND('Critérios e pesos'!$C$37*1440,0)),WORKDAY(INT($A104),1)+ROUND('Critérios e pesos'!$C$36*1440,0)/1440,IF(ROUND(MOD($A104,1)*1440,0)&lt;ROUND('Critérios e pesos'!$C$36*1440,0),INT($A104)+ROUND('Critérios e pesos'!$C$36*1440,0)/1440,$A104)))</f>
        <v/>
      </c>
      <c r="AI104">
        <f>IF(AH104="","",ROUND(MOD(AH104,1)*1440,0))</f>
        <v/>
      </c>
      <c r="AJ104">
        <f>IF(T104="","",INDEX('Critérios e pesos'!$E$29:$E$32,MATCH(T104,'Critérios e pesos'!$A$29:$A$32,0)))</f>
        <v/>
      </c>
    </row>
    <row r="105">
      <c r="A105" s="13" t="n"/>
      <c r="B105" s="6" t="n"/>
      <c r="C105" s="6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6" t="n"/>
      <c r="O105" s="6" t="n"/>
      <c r="P105" s="14">
        <f>IF($B105="","",(E105="Claro")*'Critérios e pesos'!$G$5+(E105="Em parte")*'Critérios e pesos'!$G$5/2+(F105="Claro")*'Critérios e pesos'!$G$6+(F105="Em parte")*'Critérios e pesos'!$G$6/2+(G105="Claro")*'Critérios e pesos'!$G$7+(G105="Em parte")*'Critérios e pesos'!$G$7/2+(H105="Claro")*'Critérios e pesos'!$G$8+(H105="Em parte")*'Critérios e pesos'!$G$8/2)</f>
        <v/>
      </c>
      <c r="Q105" s="14">
        <f>IF($B105="","",(I105="Claro")*'Critérios e pesos'!$G$9+(I105="Em parte")*'Critérios e pesos'!$G$9/2+(J105="Claro")*'Critérios e pesos'!$G$10+(J105="Em parte")*'Critérios e pesos'!$G$10/2+(K105="Claro")*'Critérios e pesos'!$G$11+(K105="Em parte")*'Critérios e pesos'!$G$11/2+(L105="Claro")*'Critérios e pesos'!$G$12+(L105="Em parte")*'Critérios e pesos'!$G$12/2+(M105="Claro")*'Critérios e pesos'!$G$13+(M105="Em parte")*'Critérios e pesos'!$G$13/2)</f>
        <v/>
      </c>
      <c r="R105" s="14">
        <f>IF($B105="","",IFERROR(VLOOKUP(N105,'Critérios e pesos'!$B$17:$C$20,2,FALSE),0))</f>
        <v/>
      </c>
      <c r="S105" s="9">
        <f>IF($B105="","",MAX(0,P105+Q105+R105))</f>
        <v/>
      </c>
      <c r="T105" s="9">
        <f>IF($B105="","",IF(O105&lt;&gt;"","X",IF(S105&gt;='Critérios e pesos'!$C$29,"A",IF(S105&gt;='Critérios e pesos'!$C$30,"B","C"))))</f>
        <v/>
      </c>
      <c r="U105" s="14">
        <f>IF(T105="","",INDEX('Critérios e pesos'!$D$29:$D$32,MATCH(T105,'Critérios e pesos'!$A$29:$A$32,0)))</f>
        <v/>
      </c>
      <c r="V105" s="14">
        <f>IF(T105="","",INDEX('Critérios e pesos'!$F$29:$F$32,MATCH(T105,'Critérios e pesos'!$A$29:$A$32,0)))</f>
        <v/>
      </c>
      <c r="W105" s="15">
        <f>IF(OR(AH105="",AJ105=""),"",IF(AI105+AJ105*60&lt;=ROUND('Critérios e pesos'!$C$37*1440,0),INT(AH105)+(AI105+AJ105*60)/1440,WORKDAY(INT(AH105),1+INT((AI105+AJ105*60-ROUND('Critérios e pesos'!$C$37*1440,0)-1)/(ROUND('Critérios e pesos'!$C$37*1440,0)-ROUND('Critérios e pesos'!$C$36*1440,0))))+(ROUND('Critérios e pesos'!$C$36*1440,0)+AI105+AJ105*60-ROUND('Critérios e pesos'!$C$37*1440,0)-INT((AI105+AJ105*60-ROUND('Critérios e pesos'!$C$37*1440,0)-1)/(ROUND('Critérios e pesos'!$C$37*1440,0)-ROUND('Critérios e pesos'!$C$36*1440,0)))*(ROUND('Critérios e pesos'!$C$37*1440,0)-ROUND('Critérios e pesos'!$C$36*1440,0)))/1440))</f>
        <v/>
      </c>
      <c r="X105" s="16" t="n"/>
      <c r="Y105" s="14">
        <f>IF(W105="","",IF(X105="",IF(NOW()&gt;W105,"Atrasado","Em espera"),IF(X105&lt;=W105,"No prazo","Atrasado")))</f>
        <v/>
      </c>
      <c r="Z105" s="17" t="n"/>
      <c r="AA105" s="14">
        <f>IF($B105="","",IF(OR(T105="X",AD105&lt;&gt;""),0,MAX(0,MIN(Q105,'Critérios e pesos'!$C$38*INT((TODAY()-IF(Z105&lt;&gt;"",Z105,INT($A105)))/7)))))</f>
        <v/>
      </c>
      <c r="AB105" s="14">
        <f>IF($B105="","",MAX(0,S105-AA105))</f>
        <v/>
      </c>
      <c r="AC105" s="9">
        <f>IF($B105="","",IF(T105="X","X",IF(AB105&gt;='Critérios e pesos'!$C$29,"A",IF(AB105&gt;='Critérios e pesos'!$C$30,"B","C"))))</f>
        <v/>
      </c>
      <c r="AD105" s="4" t="n"/>
      <c r="AE105" s="18" t="n"/>
      <c r="AF105" s="6" t="n"/>
      <c r="AH105">
        <f>IF($A105="","",IF(OR(WEEKDAY($A105,2)&gt;5,ROUND(MOD($A105,1)*1440,0)&gt;=ROUND('Critérios e pesos'!$C$37*1440,0)),WORKDAY(INT($A105),1)+ROUND('Critérios e pesos'!$C$36*1440,0)/1440,IF(ROUND(MOD($A105,1)*1440,0)&lt;ROUND('Critérios e pesos'!$C$36*1440,0),INT($A105)+ROUND('Critérios e pesos'!$C$36*1440,0)/1440,$A105)))</f>
        <v/>
      </c>
      <c r="AI105">
        <f>IF(AH105="","",ROUND(MOD(AH105,1)*1440,0))</f>
        <v/>
      </c>
      <c r="AJ105">
        <f>IF(T105="","",INDEX('Critérios e pesos'!$E$29:$E$32,MATCH(T105,'Critérios e pesos'!$A$29:$A$32,0)))</f>
        <v/>
      </c>
    </row>
    <row r="106">
      <c r="A106" s="13" t="n"/>
      <c r="B106" s="6" t="n"/>
      <c r="C106" s="6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6" t="n"/>
      <c r="O106" s="6" t="n"/>
      <c r="P106" s="14">
        <f>IF($B106="","",(E106="Claro")*'Critérios e pesos'!$G$5+(E106="Em parte")*'Critérios e pesos'!$G$5/2+(F106="Claro")*'Critérios e pesos'!$G$6+(F106="Em parte")*'Critérios e pesos'!$G$6/2+(G106="Claro")*'Critérios e pesos'!$G$7+(G106="Em parte")*'Critérios e pesos'!$G$7/2+(H106="Claro")*'Critérios e pesos'!$G$8+(H106="Em parte")*'Critérios e pesos'!$G$8/2)</f>
        <v/>
      </c>
      <c r="Q106" s="14">
        <f>IF($B106="","",(I106="Claro")*'Critérios e pesos'!$G$9+(I106="Em parte")*'Critérios e pesos'!$G$9/2+(J106="Claro")*'Critérios e pesos'!$G$10+(J106="Em parte")*'Critérios e pesos'!$G$10/2+(K106="Claro")*'Critérios e pesos'!$G$11+(K106="Em parte")*'Critérios e pesos'!$G$11/2+(L106="Claro")*'Critérios e pesos'!$G$12+(L106="Em parte")*'Critérios e pesos'!$G$12/2+(M106="Claro")*'Critérios e pesos'!$G$13+(M106="Em parte")*'Critérios e pesos'!$G$13/2)</f>
        <v/>
      </c>
      <c r="R106" s="14">
        <f>IF($B106="","",IFERROR(VLOOKUP(N106,'Critérios e pesos'!$B$17:$C$20,2,FALSE),0))</f>
        <v/>
      </c>
      <c r="S106" s="9">
        <f>IF($B106="","",MAX(0,P106+Q106+R106))</f>
        <v/>
      </c>
      <c r="T106" s="9">
        <f>IF($B106="","",IF(O106&lt;&gt;"","X",IF(S106&gt;='Critérios e pesos'!$C$29,"A",IF(S106&gt;='Critérios e pesos'!$C$30,"B","C"))))</f>
        <v/>
      </c>
      <c r="U106" s="14">
        <f>IF(T106="","",INDEX('Critérios e pesos'!$D$29:$D$32,MATCH(T106,'Critérios e pesos'!$A$29:$A$32,0)))</f>
        <v/>
      </c>
      <c r="V106" s="14">
        <f>IF(T106="","",INDEX('Critérios e pesos'!$F$29:$F$32,MATCH(T106,'Critérios e pesos'!$A$29:$A$32,0)))</f>
        <v/>
      </c>
      <c r="W106" s="15">
        <f>IF(OR(AH106="",AJ106=""),"",IF(AI106+AJ106*60&lt;=ROUND('Critérios e pesos'!$C$37*1440,0),INT(AH106)+(AI106+AJ106*60)/1440,WORKDAY(INT(AH106),1+INT((AI106+AJ106*60-ROUND('Critérios e pesos'!$C$37*1440,0)-1)/(ROUND('Critérios e pesos'!$C$37*1440,0)-ROUND('Critérios e pesos'!$C$36*1440,0))))+(ROUND('Critérios e pesos'!$C$36*1440,0)+AI106+AJ106*60-ROUND('Critérios e pesos'!$C$37*1440,0)-INT((AI106+AJ106*60-ROUND('Critérios e pesos'!$C$37*1440,0)-1)/(ROUND('Critérios e pesos'!$C$37*1440,0)-ROUND('Critérios e pesos'!$C$36*1440,0)))*(ROUND('Critérios e pesos'!$C$37*1440,0)-ROUND('Critérios e pesos'!$C$36*1440,0)))/1440))</f>
        <v/>
      </c>
      <c r="X106" s="16" t="n"/>
      <c r="Y106" s="14">
        <f>IF(W106="","",IF(X106="",IF(NOW()&gt;W106,"Atrasado","Em espera"),IF(X106&lt;=W106,"No prazo","Atrasado")))</f>
        <v/>
      </c>
      <c r="Z106" s="17" t="n"/>
      <c r="AA106" s="14">
        <f>IF($B106="","",IF(OR(T106="X",AD106&lt;&gt;""),0,MAX(0,MIN(Q106,'Critérios e pesos'!$C$38*INT((TODAY()-IF(Z106&lt;&gt;"",Z106,INT($A106)))/7)))))</f>
        <v/>
      </c>
      <c r="AB106" s="14">
        <f>IF($B106="","",MAX(0,S106-AA106))</f>
        <v/>
      </c>
      <c r="AC106" s="9">
        <f>IF($B106="","",IF(T106="X","X",IF(AB106&gt;='Critérios e pesos'!$C$29,"A",IF(AB106&gt;='Critérios e pesos'!$C$30,"B","C"))))</f>
        <v/>
      </c>
      <c r="AD106" s="4" t="n"/>
      <c r="AE106" s="18" t="n"/>
      <c r="AF106" s="6" t="n"/>
      <c r="AH106">
        <f>IF($A106="","",IF(OR(WEEKDAY($A106,2)&gt;5,ROUND(MOD($A106,1)*1440,0)&gt;=ROUND('Critérios e pesos'!$C$37*1440,0)),WORKDAY(INT($A106),1)+ROUND('Critérios e pesos'!$C$36*1440,0)/1440,IF(ROUND(MOD($A106,1)*1440,0)&lt;ROUND('Critérios e pesos'!$C$36*1440,0),INT($A106)+ROUND('Critérios e pesos'!$C$36*1440,0)/1440,$A106)))</f>
        <v/>
      </c>
      <c r="AI106">
        <f>IF(AH106="","",ROUND(MOD(AH106,1)*1440,0))</f>
        <v/>
      </c>
      <c r="AJ106">
        <f>IF(T106="","",INDEX('Critérios e pesos'!$E$29:$E$32,MATCH(T106,'Critérios e pesos'!$A$29:$A$32,0)))</f>
        <v/>
      </c>
    </row>
    <row r="107">
      <c r="A107" s="13" t="n"/>
      <c r="B107" s="6" t="n"/>
      <c r="C107" s="6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6" t="n"/>
      <c r="O107" s="6" t="n"/>
      <c r="P107" s="14">
        <f>IF($B107="","",(E107="Claro")*'Critérios e pesos'!$G$5+(E107="Em parte")*'Critérios e pesos'!$G$5/2+(F107="Claro")*'Critérios e pesos'!$G$6+(F107="Em parte")*'Critérios e pesos'!$G$6/2+(G107="Claro")*'Critérios e pesos'!$G$7+(G107="Em parte")*'Critérios e pesos'!$G$7/2+(H107="Claro")*'Critérios e pesos'!$G$8+(H107="Em parte")*'Critérios e pesos'!$G$8/2)</f>
        <v/>
      </c>
      <c r="Q107" s="14">
        <f>IF($B107="","",(I107="Claro")*'Critérios e pesos'!$G$9+(I107="Em parte")*'Critérios e pesos'!$G$9/2+(J107="Claro")*'Critérios e pesos'!$G$10+(J107="Em parte")*'Critérios e pesos'!$G$10/2+(K107="Claro")*'Critérios e pesos'!$G$11+(K107="Em parte")*'Critérios e pesos'!$G$11/2+(L107="Claro")*'Critérios e pesos'!$G$12+(L107="Em parte")*'Critérios e pesos'!$G$12/2+(M107="Claro")*'Critérios e pesos'!$G$13+(M107="Em parte")*'Critérios e pesos'!$G$13/2)</f>
        <v/>
      </c>
      <c r="R107" s="14">
        <f>IF($B107="","",IFERROR(VLOOKUP(N107,'Critérios e pesos'!$B$17:$C$20,2,FALSE),0))</f>
        <v/>
      </c>
      <c r="S107" s="9">
        <f>IF($B107="","",MAX(0,P107+Q107+R107))</f>
        <v/>
      </c>
      <c r="T107" s="9">
        <f>IF($B107="","",IF(O107&lt;&gt;"","X",IF(S107&gt;='Critérios e pesos'!$C$29,"A",IF(S107&gt;='Critérios e pesos'!$C$30,"B","C"))))</f>
        <v/>
      </c>
      <c r="U107" s="14">
        <f>IF(T107="","",INDEX('Critérios e pesos'!$D$29:$D$32,MATCH(T107,'Critérios e pesos'!$A$29:$A$32,0)))</f>
        <v/>
      </c>
      <c r="V107" s="14">
        <f>IF(T107="","",INDEX('Critérios e pesos'!$F$29:$F$32,MATCH(T107,'Critérios e pesos'!$A$29:$A$32,0)))</f>
        <v/>
      </c>
      <c r="W107" s="15">
        <f>IF(OR(AH107="",AJ107=""),"",IF(AI107+AJ107*60&lt;=ROUND('Critérios e pesos'!$C$37*1440,0),INT(AH107)+(AI107+AJ107*60)/1440,WORKDAY(INT(AH107),1+INT((AI107+AJ107*60-ROUND('Critérios e pesos'!$C$37*1440,0)-1)/(ROUND('Critérios e pesos'!$C$37*1440,0)-ROUND('Critérios e pesos'!$C$36*1440,0))))+(ROUND('Critérios e pesos'!$C$36*1440,0)+AI107+AJ107*60-ROUND('Critérios e pesos'!$C$37*1440,0)-INT((AI107+AJ107*60-ROUND('Critérios e pesos'!$C$37*1440,0)-1)/(ROUND('Critérios e pesos'!$C$37*1440,0)-ROUND('Critérios e pesos'!$C$36*1440,0)))*(ROUND('Critérios e pesos'!$C$37*1440,0)-ROUND('Critérios e pesos'!$C$36*1440,0)))/1440))</f>
        <v/>
      </c>
      <c r="X107" s="16" t="n"/>
      <c r="Y107" s="14">
        <f>IF(W107="","",IF(X107="",IF(NOW()&gt;W107,"Atrasado","Em espera"),IF(X107&lt;=W107,"No prazo","Atrasado")))</f>
        <v/>
      </c>
      <c r="Z107" s="17" t="n"/>
      <c r="AA107" s="14">
        <f>IF($B107="","",IF(OR(T107="X",AD107&lt;&gt;""),0,MAX(0,MIN(Q107,'Critérios e pesos'!$C$38*INT((TODAY()-IF(Z107&lt;&gt;"",Z107,INT($A107)))/7)))))</f>
        <v/>
      </c>
      <c r="AB107" s="14">
        <f>IF($B107="","",MAX(0,S107-AA107))</f>
        <v/>
      </c>
      <c r="AC107" s="9">
        <f>IF($B107="","",IF(T107="X","X",IF(AB107&gt;='Critérios e pesos'!$C$29,"A",IF(AB107&gt;='Critérios e pesos'!$C$30,"B","C"))))</f>
        <v/>
      </c>
      <c r="AD107" s="4" t="n"/>
      <c r="AE107" s="18" t="n"/>
      <c r="AF107" s="6" t="n"/>
      <c r="AH107">
        <f>IF($A107="","",IF(OR(WEEKDAY($A107,2)&gt;5,ROUND(MOD($A107,1)*1440,0)&gt;=ROUND('Critérios e pesos'!$C$37*1440,0)),WORKDAY(INT($A107),1)+ROUND('Critérios e pesos'!$C$36*1440,0)/1440,IF(ROUND(MOD($A107,1)*1440,0)&lt;ROUND('Critérios e pesos'!$C$36*1440,0),INT($A107)+ROUND('Critérios e pesos'!$C$36*1440,0)/1440,$A107)))</f>
        <v/>
      </c>
      <c r="AI107">
        <f>IF(AH107="","",ROUND(MOD(AH107,1)*1440,0))</f>
        <v/>
      </c>
      <c r="AJ107">
        <f>IF(T107="","",INDEX('Critérios e pesos'!$E$29:$E$32,MATCH(T107,'Critérios e pesos'!$A$29:$A$32,0)))</f>
        <v/>
      </c>
    </row>
    <row r="108">
      <c r="A108" s="13" t="n"/>
      <c r="B108" s="6" t="n"/>
      <c r="C108" s="6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6" t="n"/>
      <c r="O108" s="6" t="n"/>
      <c r="P108" s="14">
        <f>IF($B108="","",(E108="Claro")*'Critérios e pesos'!$G$5+(E108="Em parte")*'Critérios e pesos'!$G$5/2+(F108="Claro")*'Critérios e pesos'!$G$6+(F108="Em parte")*'Critérios e pesos'!$G$6/2+(G108="Claro")*'Critérios e pesos'!$G$7+(G108="Em parte")*'Critérios e pesos'!$G$7/2+(H108="Claro")*'Critérios e pesos'!$G$8+(H108="Em parte")*'Critérios e pesos'!$G$8/2)</f>
        <v/>
      </c>
      <c r="Q108" s="14">
        <f>IF($B108="","",(I108="Claro")*'Critérios e pesos'!$G$9+(I108="Em parte")*'Critérios e pesos'!$G$9/2+(J108="Claro")*'Critérios e pesos'!$G$10+(J108="Em parte")*'Critérios e pesos'!$G$10/2+(K108="Claro")*'Critérios e pesos'!$G$11+(K108="Em parte")*'Critérios e pesos'!$G$11/2+(L108="Claro")*'Critérios e pesos'!$G$12+(L108="Em parte")*'Critérios e pesos'!$G$12/2+(M108="Claro")*'Critérios e pesos'!$G$13+(M108="Em parte")*'Critérios e pesos'!$G$13/2)</f>
        <v/>
      </c>
      <c r="R108" s="14">
        <f>IF($B108="","",IFERROR(VLOOKUP(N108,'Critérios e pesos'!$B$17:$C$20,2,FALSE),0))</f>
        <v/>
      </c>
      <c r="S108" s="9">
        <f>IF($B108="","",MAX(0,P108+Q108+R108))</f>
        <v/>
      </c>
      <c r="T108" s="9">
        <f>IF($B108="","",IF(O108&lt;&gt;"","X",IF(S108&gt;='Critérios e pesos'!$C$29,"A",IF(S108&gt;='Critérios e pesos'!$C$30,"B","C"))))</f>
        <v/>
      </c>
      <c r="U108" s="14">
        <f>IF(T108="","",INDEX('Critérios e pesos'!$D$29:$D$32,MATCH(T108,'Critérios e pesos'!$A$29:$A$32,0)))</f>
        <v/>
      </c>
      <c r="V108" s="14">
        <f>IF(T108="","",INDEX('Critérios e pesos'!$F$29:$F$32,MATCH(T108,'Critérios e pesos'!$A$29:$A$32,0)))</f>
        <v/>
      </c>
      <c r="W108" s="15">
        <f>IF(OR(AH108="",AJ108=""),"",IF(AI108+AJ108*60&lt;=ROUND('Critérios e pesos'!$C$37*1440,0),INT(AH108)+(AI108+AJ108*60)/1440,WORKDAY(INT(AH108),1+INT((AI108+AJ108*60-ROUND('Critérios e pesos'!$C$37*1440,0)-1)/(ROUND('Critérios e pesos'!$C$37*1440,0)-ROUND('Critérios e pesos'!$C$36*1440,0))))+(ROUND('Critérios e pesos'!$C$36*1440,0)+AI108+AJ108*60-ROUND('Critérios e pesos'!$C$37*1440,0)-INT((AI108+AJ108*60-ROUND('Critérios e pesos'!$C$37*1440,0)-1)/(ROUND('Critérios e pesos'!$C$37*1440,0)-ROUND('Critérios e pesos'!$C$36*1440,0)))*(ROUND('Critérios e pesos'!$C$37*1440,0)-ROUND('Critérios e pesos'!$C$36*1440,0)))/1440))</f>
        <v/>
      </c>
      <c r="X108" s="16" t="n"/>
      <c r="Y108" s="14">
        <f>IF(W108="","",IF(X108="",IF(NOW()&gt;W108,"Atrasado","Em espera"),IF(X108&lt;=W108,"No prazo","Atrasado")))</f>
        <v/>
      </c>
      <c r="Z108" s="17" t="n"/>
      <c r="AA108" s="14">
        <f>IF($B108="","",IF(OR(T108="X",AD108&lt;&gt;""),0,MAX(0,MIN(Q108,'Critérios e pesos'!$C$38*INT((TODAY()-IF(Z108&lt;&gt;"",Z108,INT($A108)))/7)))))</f>
        <v/>
      </c>
      <c r="AB108" s="14">
        <f>IF($B108="","",MAX(0,S108-AA108))</f>
        <v/>
      </c>
      <c r="AC108" s="9">
        <f>IF($B108="","",IF(T108="X","X",IF(AB108&gt;='Critérios e pesos'!$C$29,"A",IF(AB108&gt;='Critérios e pesos'!$C$30,"B","C"))))</f>
        <v/>
      </c>
      <c r="AD108" s="4" t="n"/>
      <c r="AE108" s="18" t="n"/>
      <c r="AF108" s="6" t="n"/>
      <c r="AH108">
        <f>IF($A108="","",IF(OR(WEEKDAY($A108,2)&gt;5,ROUND(MOD($A108,1)*1440,0)&gt;=ROUND('Critérios e pesos'!$C$37*1440,0)),WORKDAY(INT($A108),1)+ROUND('Critérios e pesos'!$C$36*1440,0)/1440,IF(ROUND(MOD($A108,1)*1440,0)&lt;ROUND('Critérios e pesos'!$C$36*1440,0),INT($A108)+ROUND('Critérios e pesos'!$C$36*1440,0)/1440,$A108)))</f>
        <v/>
      </c>
      <c r="AI108">
        <f>IF(AH108="","",ROUND(MOD(AH108,1)*1440,0))</f>
        <v/>
      </c>
      <c r="AJ108">
        <f>IF(T108="","",INDEX('Critérios e pesos'!$E$29:$E$32,MATCH(T108,'Critérios e pesos'!$A$29:$A$32,0)))</f>
        <v/>
      </c>
    </row>
    <row r="109">
      <c r="A109" s="13" t="n"/>
      <c r="B109" s="6" t="n"/>
      <c r="C109" s="6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6" t="n"/>
      <c r="O109" s="6" t="n"/>
      <c r="P109" s="14">
        <f>IF($B109="","",(E109="Claro")*'Critérios e pesos'!$G$5+(E109="Em parte")*'Critérios e pesos'!$G$5/2+(F109="Claro")*'Critérios e pesos'!$G$6+(F109="Em parte")*'Critérios e pesos'!$G$6/2+(G109="Claro")*'Critérios e pesos'!$G$7+(G109="Em parte")*'Critérios e pesos'!$G$7/2+(H109="Claro")*'Critérios e pesos'!$G$8+(H109="Em parte")*'Critérios e pesos'!$G$8/2)</f>
        <v/>
      </c>
      <c r="Q109" s="14">
        <f>IF($B109="","",(I109="Claro")*'Critérios e pesos'!$G$9+(I109="Em parte")*'Critérios e pesos'!$G$9/2+(J109="Claro")*'Critérios e pesos'!$G$10+(J109="Em parte")*'Critérios e pesos'!$G$10/2+(K109="Claro")*'Critérios e pesos'!$G$11+(K109="Em parte")*'Critérios e pesos'!$G$11/2+(L109="Claro")*'Critérios e pesos'!$G$12+(L109="Em parte")*'Critérios e pesos'!$G$12/2+(M109="Claro")*'Critérios e pesos'!$G$13+(M109="Em parte")*'Critérios e pesos'!$G$13/2)</f>
        <v/>
      </c>
      <c r="R109" s="14">
        <f>IF($B109="","",IFERROR(VLOOKUP(N109,'Critérios e pesos'!$B$17:$C$20,2,FALSE),0))</f>
        <v/>
      </c>
      <c r="S109" s="9">
        <f>IF($B109="","",MAX(0,P109+Q109+R109))</f>
        <v/>
      </c>
      <c r="T109" s="9">
        <f>IF($B109="","",IF(O109&lt;&gt;"","X",IF(S109&gt;='Critérios e pesos'!$C$29,"A",IF(S109&gt;='Critérios e pesos'!$C$30,"B","C"))))</f>
        <v/>
      </c>
      <c r="U109" s="14">
        <f>IF(T109="","",INDEX('Critérios e pesos'!$D$29:$D$32,MATCH(T109,'Critérios e pesos'!$A$29:$A$32,0)))</f>
        <v/>
      </c>
      <c r="V109" s="14">
        <f>IF(T109="","",INDEX('Critérios e pesos'!$F$29:$F$32,MATCH(T109,'Critérios e pesos'!$A$29:$A$32,0)))</f>
        <v/>
      </c>
      <c r="W109" s="15">
        <f>IF(OR(AH109="",AJ109=""),"",IF(AI109+AJ109*60&lt;=ROUND('Critérios e pesos'!$C$37*1440,0),INT(AH109)+(AI109+AJ109*60)/1440,WORKDAY(INT(AH109),1+INT((AI109+AJ109*60-ROUND('Critérios e pesos'!$C$37*1440,0)-1)/(ROUND('Critérios e pesos'!$C$37*1440,0)-ROUND('Critérios e pesos'!$C$36*1440,0))))+(ROUND('Critérios e pesos'!$C$36*1440,0)+AI109+AJ109*60-ROUND('Critérios e pesos'!$C$37*1440,0)-INT((AI109+AJ109*60-ROUND('Critérios e pesos'!$C$37*1440,0)-1)/(ROUND('Critérios e pesos'!$C$37*1440,0)-ROUND('Critérios e pesos'!$C$36*1440,0)))*(ROUND('Critérios e pesos'!$C$37*1440,0)-ROUND('Critérios e pesos'!$C$36*1440,0)))/1440))</f>
        <v/>
      </c>
      <c r="X109" s="16" t="n"/>
      <c r="Y109" s="14">
        <f>IF(W109="","",IF(X109="",IF(NOW()&gt;W109,"Atrasado","Em espera"),IF(X109&lt;=W109,"No prazo","Atrasado")))</f>
        <v/>
      </c>
      <c r="Z109" s="17" t="n"/>
      <c r="AA109" s="14">
        <f>IF($B109="","",IF(OR(T109="X",AD109&lt;&gt;""),0,MAX(0,MIN(Q109,'Critérios e pesos'!$C$38*INT((TODAY()-IF(Z109&lt;&gt;"",Z109,INT($A109)))/7)))))</f>
        <v/>
      </c>
      <c r="AB109" s="14">
        <f>IF($B109="","",MAX(0,S109-AA109))</f>
        <v/>
      </c>
      <c r="AC109" s="9">
        <f>IF($B109="","",IF(T109="X","X",IF(AB109&gt;='Critérios e pesos'!$C$29,"A",IF(AB109&gt;='Critérios e pesos'!$C$30,"B","C"))))</f>
        <v/>
      </c>
      <c r="AD109" s="4" t="n"/>
      <c r="AE109" s="18" t="n"/>
      <c r="AF109" s="6" t="n"/>
      <c r="AH109">
        <f>IF($A109="","",IF(OR(WEEKDAY($A109,2)&gt;5,ROUND(MOD($A109,1)*1440,0)&gt;=ROUND('Critérios e pesos'!$C$37*1440,0)),WORKDAY(INT($A109),1)+ROUND('Critérios e pesos'!$C$36*1440,0)/1440,IF(ROUND(MOD($A109,1)*1440,0)&lt;ROUND('Critérios e pesos'!$C$36*1440,0),INT($A109)+ROUND('Critérios e pesos'!$C$36*1440,0)/1440,$A109)))</f>
        <v/>
      </c>
      <c r="AI109">
        <f>IF(AH109="","",ROUND(MOD(AH109,1)*1440,0))</f>
        <v/>
      </c>
      <c r="AJ109">
        <f>IF(T109="","",INDEX('Critérios e pesos'!$E$29:$E$32,MATCH(T109,'Critérios e pesos'!$A$29:$A$32,0)))</f>
        <v/>
      </c>
    </row>
    <row r="110">
      <c r="A110" s="13" t="n"/>
      <c r="B110" s="6" t="n"/>
      <c r="C110" s="6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6" t="n"/>
      <c r="O110" s="6" t="n"/>
      <c r="P110" s="14">
        <f>IF($B110="","",(E110="Claro")*'Critérios e pesos'!$G$5+(E110="Em parte")*'Critérios e pesos'!$G$5/2+(F110="Claro")*'Critérios e pesos'!$G$6+(F110="Em parte")*'Critérios e pesos'!$G$6/2+(G110="Claro")*'Critérios e pesos'!$G$7+(G110="Em parte")*'Critérios e pesos'!$G$7/2+(H110="Claro")*'Critérios e pesos'!$G$8+(H110="Em parte")*'Critérios e pesos'!$G$8/2)</f>
        <v/>
      </c>
      <c r="Q110" s="14">
        <f>IF($B110="","",(I110="Claro")*'Critérios e pesos'!$G$9+(I110="Em parte")*'Critérios e pesos'!$G$9/2+(J110="Claro")*'Critérios e pesos'!$G$10+(J110="Em parte")*'Critérios e pesos'!$G$10/2+(K110="Claro")*'Critérios e pesos'!$G$11+(K110="Em parte")*'Critérios e pesos'!$G$11/2+(L110="Claro")*'Critérios e pesos'!$G$12+(L110="Em parte")*'Critérios e pesos'!$G$12/2+(M110="Claro")*'Critérios e pesos'!$G$13+(M110="Em parte")*'Critérios e pesos'!$G$13/2)</f>
        <v/>
      </c>
      <c r="R110" s="14">
        <f>IF($B110="","",IFERROR(VLOOKUP(N110,'Critérios e pesos'!$B$17:$C$20,2,FALSE),0))</f>
        <v/>
      </c>
      <c r="S110" s="9">
        <f>IF($B110="","",MAX(0,P110+Q110+R110))</f>
        <v/>
      </c>
      <c r="T110" s="9">
        <f>IF($B110="","",IF(O110&lt;&gt;"","X",IF(S110&gt;='Critérios e pesos'!$C$29,"A",IF(S110&gt;='Critérios e pesos'!$C$30,"B","C"))))</f>
        <v/>
      </c>
      <c r="U110" s="14">
        <f>IF(T110="","",INDEX('Critérios e pesos'!$D$29:$D$32,MATCH(T110,'Critérios e pesos'!$A$29:$A$32,0)))</f>
        <v/>
      </c>
      <c r="V110" s="14">
        <f>IF(T110="","",INDEX('Critérios e pesos'!$F$29:$F$32,MATCH(T110,'Critérios e pesos'!$A$29:$A$32,0)))</f>
        <v/>
      </c>
      <c r="W110" s="15">
        <f>IF(OR(AH110="",AJ110=""),"",IF(AI110+AJ110*60&lt;=ROUND('Critérios e pesos'!$C$37*1440,0),INT(AH110)+(AI110+AJ110*60)/1440,WORKDAY(INT(AH110),1+INT((AI110+AJ110*60-ROUND('Critérios e pesos'!$C$37*1440,0)-1)/(ROUND('Critérios e pesos'!$C$37*1440,0)-ROUND('Critérios e pesos'!$C$36*1440,0))))+(ROUND('Critérios e pesos'!$C$36*1440,0)+AI110+AJ110*60-ROUND('Critérios e pesos'!$C$37*1440,0)-INT((AI110+AJ110*60-ROUND('Critérios e pesos'!$C$37*1440,0)-1)/(ROUND('Critérios e pesos'!$C$37*1440,0)-ROUND('Critérios e pesos'!$C$36*1440,0)))*(ROUND('Critérios e pesos'!$C$37*1440,0)-ROUND('Critérios e pesos'!$C$36*1440,0)))/1440))</f>
        <v/>
      </c>
      <c r="X110" s="16" t="n"/>
      <c r="Y110" s="14">
        <f>IF(W110="","",IF(X110="",IF(NOW()&gt;W110,"Atrasado","Em espera"),IF(X110&lt;=W110,"No prazo","Atrasado")))</f>
        <v/>
      </c>
      <c r="Z110" s="17" t="n"/>
      <c r="AA110" s="14">
        <f>IF($B110="","",IF(OR(T110="X",AD110&lt;&gt;""),0,MAX(0,MIN(Q110,'Critérios e pesos'!$C$38*INT((TODAY()-IF(Z110&lt;&gt;"",Z110,INT($A110)))/7)))))</f>
        <v/>
      </c>
      <c r="AB110" s="14">
        <f>IF($B110="","",MAX(0,S110-AA110))</f>
        <v/>
      </c>
      <c r="AC110" s="9">
        <f>IF($B110="","",IF(T110="X","X",IF(AB110&gt;='Critérios e pesos'!$C$29,"A",IF(AB110&gt;='Critérios e pesos'!$C$30,"B","C"))))</f>
        <v/>
      </c>
      <c r="AD110" s="4" t="n"/>
      <c r="AE110" s="18" t="n"/>
      <c r="AF110" s="6" t="n"/>
      <c r="AH110">
        <f>IF($A110="","",IF(OR(WEEKDAY($A110,2)&gt;5,ROUND(MOD($A110,1)*1440,0)&gt;=ROUND('Critérios e pesos'!$C$37*1440,0)),WORKDAY(INT($A110),1)+ROUND('Critérios e pesos'!$C$36*1440,0)/1440,IF(ROUND(MOD($A110,1)*1440,0)&lt;ROUND('Critérios e pesos'!$C$36*1440,0),INT($A110)+ROUND('Critérios e pesos'!$C$36*1440,0)/1440,$A110)))</f>
        <v/>
      </c>
      <c r="AI110">
        <f>IF(AH110="","",ROUND(MOD(AH110,1)*1440,0))</f>
        <v/>
      </c>
      <c r="AJ110">
        <f>IF(T110="","",INDEX('Critérios e pesos'!$E$29:$E$32,MATCH(T110,'Critérios e pesos'!$A$29:$A$32,0)))</f>
        <v/>
      </c>
    </row>
    <row r="111">
      <c r="A111" s="13" t="n"/>
      <c r="B111" s="6" t="n"/>
      <c r="C111" s="6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6" t="n"/>
      <c r="O111" s="6" t="n"/>
      <c r="P111" s="14">
        <f>IF($B111="","",(E111="Claro")*'Critérios e pesos'!$G$5+(E111="Em parte")*'Critérios e pesos'!$G$5/2+(F111="Claro")*'Critérios e pesos'!$G$6+(F111="Em parte")*'Critérios e pesos'!$G$6/2+(G111="Claro")*'Critérios e pesos'!$G$7+(G111="Em parte")*'Critérios e pesos'!$G$7/2+(H111="Claro")*'Critérios e pesos'!$G$8+(H111="Em parte")*'Critérios e pesos'!$G$8/2)</f>
        <v/>
      </c>
      <c r="Q111" s="14">
        <f>IF($B111="","",(I111="Claro")*'Critérios e pesos'!$G$9+(I111="Em parte")*'Critérios e pesos'!$G$9/2+(J111="Claro")*'Critérios e pesos'!$G$10+(J111="Em parte")*'Critérios e pesos'!$G$10/2+(K111="Claro")*'Critérios e pesos'!$G$11+(K111="Em parte")*'Critérios e pesos'!$G$11/2+(L111="Claro")*'Critérios e pesos'!$G$12+(L111="Em parte")*'Critérios e pesos'!$G$12/2+(M111="Claro")*'Critérios e pesos'!$G$13+(M111="Em parte")*'Critérios e pesos'!$G$13/2)</f>
        <v/>
      </c>
      <c r="R111" s="14">
        <f>IF($B111="","",IFERROR(VLOOKUP(N111,'Critérios e pesos'!$B$17:$C$20,2,FALSE),0))</f>
        <v/>
      </c>
      <c r="S111" s="9">
        <f>IF($B111="","",MAX(0,P111+Q111+R111))</f>
        <v/>
      </c>
      <c r="T111" s="9">
        <f>IF($B111="","",IF(O111&lt;&gt;"","X",IF(S111&gt;='Critérios e pesos'!$C$29,"A",IF(S111&gt;='Critérios e pesos'!$C$30,"B","C"))))</f>
        <v/>
      </c>
      <c r="U111" s="14">
        <f>IF(T111="","",INDEX('Critérios e pesos'!$D$29:$D$32,MATCH(T111,'Critérios e pesos'!$A$29:$A$32,0)))</f>
        <v/>
      </c>
      <c r="V111" s="14">
        <f>IF(T111="","",INDEX('Critérios e pesos'!$F$29:$F$32,MATCH(T111,'Critérios e pesos'!$A$29:$A$32,0)))</f>
        <v/>
      </c>
      <c r="W111" s="15">
        <f>IF(OR(AH111="",AJ111=""),"",IF(AI111+AJ111*60&lt;=ROUND('Critérios e pesos'!$C$37*1440,0),INT(AH111)+(AI111+AJ111*60)/1440,WORKDAY(INT(AH111),1+INT((AI111+AJ111*60-ROUND('Critérios e pesos'!$C$37*1440,0)-1)/(ROUND('Critérios e pesos'!$C$37*1440,0)-ROUND('Critérios e pesos'!$C$36*1440,0))))+(ROUND('Critérios e pesos'!$C$36*1440,0)+AI111+AJ111*60-ROUND('Critérios e pesos'!$C$37*1440,0)-INT((AI111+AJ111*60-ROUND('Critérios e pesos'!$C$37*1440,0)-1)/(ROUND('Critérios e pesos'!$C$37*1440,0)-ROUND('Critérios e pesos'!$C$36*1440,0)))*(ROUND('Critérios e pesos'!$C$37*1440,0)-ROUND('Critérios e pesos'!$C$36*1440,0)))/1440))</f>
        <v/>
      </c>
      <c r="X111" s="16" t="n"/>
      <c r="Y111" s="14">
        <f>IF(W111="","",IF(X111="",IF(NOW()&gt;W111,"Atrasado","Em espera"),IF(X111&lt;=W111,"No prazo","Atrasado")))</f>
        <v/>
      </c>
      <c r="Z111" s="17" t="n"/>
      <c r="AA111" s="14">
        <f>IF($B111="","",IF(OR(T111="X",AD111&lt;&gt;""),0,MAX(0,MIN(Q111,'Critérios e pesos'!$C$38*INT((TODAY()-IF(Z111&lt;&gt;"",Z111,INT($A111)))/7)))))</f>
        <v/>
      </c>
      <c r="AB111" s="14">
        <f>IF($B111="","",MAX(0,S111-AA111))</f>
        <v/>
      </c>
      <c r="AC111" s="9">
        <f>IF($B111="","",IF(T111="X","X",IF(AB111&gt;='Critérios e pesos'!$C$29,"A",IF(AB111&gt;='Critérios e pesos'!$C$30,"B","C"))))</f>
        <v/>
      </c>
      <c r="AD111" s="4" t="n"/>
      <c r="AE111" s="18" t="n"/>
      <c r="AF111" s="6" t="n"/>
      <c r="AH111">
        <f>IF($A111="","",IF(OR(WEEKDAY($A111,2)&gt;5,ROUND(MOD($A111,1)*1440,0)&gt;=ROUND('Critérios e pesos'!$C$37*1440,0)),WORKDAY(INT($A111),1)+ROUND('Critérios e pesos'!$C$36*1440,0)/1440,IF(ROUND(MOD($A111,1)*1440,0)&lt;ROUND('Critérios e pesos'!$C$36*1440,0),INT($A111)+ROUND('Critérios e pesos'!$C$36*1440,0)/1440,$A111)))</f>
        <v/>
      </c>
      <c r="AI111">
        <f>IF(AH111="","",ROUND(MOD(AH111,1)*1440,0))</f>
        <v/>
      </c>
      <c r="AJ111">
        <f>IF(T111="","",INDEX('Critérios e pesos'!$E$29:$E$32,MATCH(T111,'Critérios e pesos'!$A$29:$A$32,0)))</f>
        <v/>
      </c>
    </row>
    <row r="112">
      <c r="A112" s="13" t="n"/>
      <c r="B112" s="6" t="n"/>
      <c r="C112" s="6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6" t="n"/>
      <c r="O112" s="6" t="n"/>
      <c r="P112" s="14">
        <f>IF($B112="","",(E112="Claro")*'Critérios e pesos'!$G$5+(E112="Em parte")*'Critérios e pesos'!$G$5/2+(F112="Claro")*'Critérios e pesos'!$G$6+(F112="Em parte")*'Critérios e pesos'!$G$6/2+(G112="Claro")*'Critérios e pesos'!$G$7+(G112="Em parte")*'Critérios e pesos'!$G$7/2+(H112="Claro")*'Critérios e pesos'!$G$8+(H112="Em parte")*'Critérios e pesos'!$G$8/2)</f>
        <v/>
      </c>
      <c r="Q112" s="14">
        <f>IF($B112="","",(I112="Claro")*'Critérios e pesos'!$G$9+(I112="Em parte")*'Critérios e pesos'!$G$9/2+(J112="Claro")*'Critérios e pesos'!$G$10+(J112="Em parte")*'Critérios e pesos'!$G$10/2+(K112="Claro")*'Critérios e pesos'!$G$11+(K112="Em parte")*'Critérios e pesos'!$G$11/2+(L112="Claro")*'Critérios e pesos'!$G$12+(L112="Em parte")*'Critérios e pesos'!$G$12/2+(M112="Claro")*'Critérios e pesos'!$G$13+(M112="Em parte")*'Critérios e pesos'!$G$13/2)</f>
        <v/>
      </c>
      <c r="R112" s="14">
        <f>IF($B112="","",IFERROR(VLOOKUP(N112,'Critérios e pesos'!$B$17:$C$20,2,FALSE),0))</f>
        <v/>
      </c>
      <c r="S112" s="9">
        <f>IF($B112="","",MAX(0,P112+Q112+R112))</f>
        <v/>
      </c>
      <c r="T112" s="9">
        <f>IF($B112="","",IF(O112&lt;&gt;"","X",IF(S112&gt;='Critérios e pesos'!$C$29,"A",IF(S112&gt;='Critérios e pesos'!$C$30,"B","C"))))</f>
        <v/>
      </c>
      <c r="U112" s="14">
        <f>IF(T112="","",INDEX('Critérios e pesos'!$D$29:$D$32,MATCH(T112,'Critérios e pesos'!$A$29:$A$32,0)))</f>
        <v/>
      </c>
      <c r="V112" s="14">
        <f>IF(T112="","",INDEX('Critérios e pesos'!$F$29:$F$32,MATCH(T112,'Critérios e pesos'!$A$29:$A$32,0)))</f>
        <v/>
      </c>
      <c r="W112" s="15">
        <f>IF(OR(AH112="",AJ112=""),"",IF(AI112+AJ112*60&lt;=ROUND('Critérios e pesos'!$C$37*1440,0),INT(AH112)+(AI112+AJ112*60)/1440,WORKDAY(INT(AH112),1+INT((AI112+AJ112*60-ROUND('Critérios e pesos'!$C$37*1440,0)-1)/(ROUND('Critérios e pesos'!$C$37*1440,0)-ROUND('Critérios e pesos'!$C$36*1440,0))))+(ROUND('Critérios e pesos'!$C$36*1440,0)+AI112+AJ112*60-ROUND('Critérios e pesos'!$C$37*1440,0)-INT((AI112+AJ112*60-ROUND('Critérios e pesos'!$C$37*1440,0)-1)/(ROUND('Critérios e pesos'!$C$37*1440,0)-ROUND('Critérios e pesos'!$C$36*1440,0)))*(ROUND('Critérios e pesos'!$C$37*1440,0)-ROUND('Critérios e pesos'!$C$36*1440,0)))/1440))</f>
        <v/>
      </c>
      <c r="X112" s="16" t="n"/>
      <c r="Y112" s="14">
        <f>IF(W112="","",IF(X112="",IF(NOW()&gt;W112,"Atrasado","Em espera"),IF(X112&lt;=W112,"No prazo","Atrasado")))</f>
        <v/>
      </c>
      <c r="Z112" s="17" t="n"/>
      <c r="AA112" s="14">
        <f>IF($B112="","",IF(OR(T112="X",AD112&lt;&gt;""),0,MAX(0,MIN(Q112,'Critérios e pesos'!$C$38*INT((TODAY()-IF(Z112&lt;&gt;"",Z112,INT($A112)))/7)))))</f>
        <v/>
      </c>
      <c r="AB112" s="14">
        <f>IF($B112="","",MAX(0,S112-AA112))</f>
        <v/>
      </c>
      <c r="AC112" s="9">
        <f>IF($B112="","",IF(T112="X","X",IF(AB112&gt;='Critérios e pesos'!$C$29,"A",IF(AB112&gt;='Critérios e pesos'!$C$30,"B","C"))))</f>
        <v/>
      </c>
      <c r="AD112" s="4" t="n"/>
      <c r="AE112" s="18" t="n"/>
      <c r="AF112" s="6" t="n"/>
      <c r="AH112">
        <f>IF($A112="","",IF(OR(WEEKDAY($A112,2)&gt;5,ROUND(MOD($A112,1)*1440,0)&gt;=ROUND('Critérios e pesos'!$C$37*1440,0)),WORKDAY(INT($A112),1)+ROUND('Critérios e pesos'!$C$36*1440,0)/1440,IF(ROUND(MOD($A112,1)*1440,0)&lt;ROUND('Critérios e pesos'!$C$36*1440,0),INT($A112)+ROUND('Critérios e pesos'!$C$36*1440,0)/1440,$A112)))</f>
        <v/>
      </c>
      <c r="AI112">
        <f>IF(AH112="","",ROUND(MOD(AH112,1)*1440,0))</f>
        <v/>
      </c>
      <c r="AJ112">
        <f>IF(T112="","",INDEX('Critérios e pesos'!$E$29:$E$32,MATCH(T112,'Critérios e pesos'!$A$29:$A$32,0)))</f>
        <v/>
      </c>
    </row>
    <row r="113">
      <c r="A113" s="13" t="n"/>
      <c r="B113" s="6" t="n"/>
      <c r="C113" s="6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6" t="n"/>
      <c r="O113" s="6" t="n"/>
      <c r="P113" s="14">
        <f>IF($B113="","",(E113="Claro")*'Critérios e pesos'!$G$5+(E113="Em parte")*'Critérios e pesos'!$G$5/2+(F113="Claro")*'Critérios e pesos'!$G$6+(F113="Em parte")*'Critérios e pesos'!$G$6/2+(G113="Claro")*'Critérios e pesos'!$G$7+(G113="Em parte")*'Critérios e pesos'!$G$7/2+(H113="Claro")*'Critérios e pesos'!$G$8+(H113="Em parte")*'Critérios e pesos'!$G$8/2)</f>
        <v/>
      </c>
      <c r="Q113" s="14">
        <f>IF($B113="","",(I113="Claro")*'Critérios e pesos'!$G$9+(I113="Em parte")*'Critérios e pesos'!$G$9/2+(J113="Claro")*'Critérios e pesos'!$G$10+(J113="Em parte")*'Critérios e pesos'!$G$10/2+(K113="Claro")*'Critérios e pesos'!$G$11+(K113="Em parte")*'Critérios e pesos'!$G$11/2+(L113="Claro")*'Critérios e pesos'!$G$12+(L113="Em parte")*'Critérios e pesos'!$G$12/2+(M113="Claro")*'Critérios e pesos'!$G$13+(M113="Em parte")*'Critérios e pesos'!$G$13/2)</f>
        <v/>
      </c>
      <c r="R113" s="14">
        <f>IF($B113="","",IFERROR(VLOOKUP(N113,'Critérios e pesos'!$B$17:$C$20,2,FALSE),0))</f>
        <v/>
      </c>
      <c r="S113" s="9">
        <f>IF($B113="","",MAX(0,P113+Q113+R113))</f>
        <v/>
      </c>
      <c r="T113" s="9">
        <f>IF($B113="","",IF(O113&lt;&gt;"","X",IF(S113&gt;='Critérios e pesos'!$C$29,"A",IF(S113&gt;='Critérios e pesos'!$C$30,"B","C"))))</f>
        <v/>
      </c>
      <c r="U113" s="14">
        <f>IF(T113="","",INDEX('Critérios e pesos'!$D$29:$D$32,MATCH(T113,'Critérios e pesos'!$A$29:$A$32,0)))</f>
        <v/>
      </c>
      <c r="V113" s="14">
        <f>IF(T113="","",INDEX('Critérios e pesos'!$F$29:$F$32,MATCH(T113,'Critérios e pesos'!$A$29:$A$32,0)))</f>
        <v/>
      </c>
      <c r="W113" s="15">
        <f>IF(OR(AH113="",AJ113=""),"",IF(AI113+AJ113*60&lt;=ROUND('Critérios e pesos'!$C$37*1440,0),INT(AH113)+(AI113+AJ113*60)/1440,WORKDAY(INT(AH113),1+INT((AI113+AJ113*60-ROUND('Critérios e pesos'!$C$37*1440,0)-1)/(ROUND('Critérios e pesos'!$C$37*1440,0)-ROUND('Critérios e pesos'!$C$36*1440,0))))+(ROUND('Critérios e pesos'!$C$36*1440,0)+AI113+AJ113*60-ROUND('Critérios e pesos'!$C$37*1440,0)-INT((AI113+AJ113*60-ROUND('Critérios e pesos'!$C$37*1440,0)-1)/(ROUND('Critérios e pesos'!$C$37*1440,0)-ROUND('Critérios e pesos'!$C$36*1440,0)))*(ROUND('Critérios e pesos'!$C$37*1440,0)-ROUND('Critérios e pesos'!$C$36*1440,0)))/1440))</f>
        <v/>
      </c>
      <c r="X113" s="16" t="n"/>
      <c r="Y113" s="14">
        <f>IF(W113="","",IF(X113="",IF(NOW()&gt;W113,"Atrasado","Em espera"),IF(X113&lt;=W113,"No prazo","Atrasado")))</f>
        <v/>
      </c>
      <c r="Z113" s="17" t="n"/>
      <c r="AA113" s="14">
        <f>IF($B113="","",IF(OR(T113="X",AD113&lt;&gt;""),0,MAX(0,MIN(Q113,'Critérios e pesos'!$C$38*INT((TODAY()-IF(Z113&lt;&gt;"",Z113,INT($A113)))/7)))))</f>
        <v/>
      </c>
      <c r="AB113" s="14">
        <f>IF($B113="","",MAX(0,S113-AA113))</f>
        <v/>
      </c>
      <c r="AC113" s="9">
        <f>IF($B113="","",IF(T113="X","X",IF(AB113&gt;='Critérios e pesos'!$C$29,"A",IF(AB113&gt;='Critérios e pesos'!$C$30,"B","C"))))</f>
        <v/>
      </c>
      <c r="AD113" s="4" t="n"/>
      <c r="AE113" s="18" t="n"/>
      <c r="AF113" s="6" t="n"/>
      <c r="AH113">
        <f>IF($A113="","",IF(OR(WEEKDAY($A113,2)&gt;5,ROUND(MOD($A113,1)*1440,0)&gt;=ROUND('Critérios e pesos'!$C$37*1440,0)),WORKDAY(INT($A113),1)+ROUND('Critérios e pesos'!$C$36*1440,0)/1440,IF(ROUND(MOD($A113,1)*1440,0)&lt;ROUND('Critérios e pesos'!$C$36*1440,0),INT($A113)+ROUND('Critérios e pesos'!$C$36*1440,0)/1440,$A113)))</f>
        <v/>
      </c>
      <c r="AI113">
        <f>IF(AH113="","",ROUND(MOD(AH113,1)*1440,0))</f>
        <v/>
      </c>
      <c r="AJ113">
        <f>IF(T113="","",INDEX('Critérios e pesos'!$E$29:$E$32,MATCH(T113,'Critérios e pesos'!$A$29:$A$32,0)))</f>
        <v/>
      </c>
    </row>
    <row r="114">
      <c r="A114" s="13" t="n"/>
      <c r="B114" s="6" t="n"/>
      <c r="C114" s="6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6" t="n"/>
      <c r="O114" s="6" t="n"/>
      <c r="P114" s="14">
        <f>IF($B114="","",(E114="Claro")*'Critérios e pesos'!$G$5+(E114="Em parte")*'Critérios e pesos'!$G$5/2+(F114="Claro")*'Critérios e pesos'!$G$6+(F114="Em parte")*'Critérios e pesos'!$G$6/2+(G114="Claro")*'Critérios e pesos'!$G$7+(G114="Em parte")*'Critérios e pesos'!$G$7/2+(H114="Claro")*'Critérios e pesos'!$G$8+(H114="Em parte")*'Critérios e pesos'!$G$8/2)</f>
        <v/>
      </c>
      <c r="Q114" s="14">
        <f>IF($B114="","",(I114="Claro")*'Critérios e pesos'!$G$9+(I114="Em parte")*'Critérios e pesos'!$G$9/2+(J114="Claro")*'Critérios e pesos'!$G$10+(J114="Em parte")*'Critérios e pesos'!$G$10/2+(K114="Claro")*'Critérios e pesos'!$G$11+(K114="Em parte")*'Critérios e pesos'!$G$11/2+(L114="Claro")*'Critérios e pesos'!$G$12+(L114="Em parte")*'Critérios e pesos'!$G$12/2+(M114="Claro")*'Critérios e pesos'!$G$13+(M114="Em parte")*'Critérios e pesos'!$G$13/2)</f>
        <v/>
      </c>
      <c r="R114" s="14">
        <f>IF($B114="","",IFERROR(VLOOKUP(N114,'Critérios e pesos'!$B$17:$C$20,2,FALSE),0))</f>
        <v/>
      </c>
      <c r="S114" s="9">
        <f>IF($B114="","",MAX(0,P114+Q114+R114))</f>
        <v/>
      </c>
      <c r="T114" s="9">
        <f>IF($B114="","",IF(O114&lt;&gt;"","X",IF(S114&gt;='Critérios e pesos'!$C$29,"A",IF(S114&gt;='Critérios e pesos'!$C$30,"B","C"))))</f>
        <v/>
      </c>
      <c r="U114" s="14">
        <f>IF(T114="","",INDEX('Critérios e pesos'!$D$29:$D$32,MATCH(T114,'Critérios e pesos'!$A$29:$A$32,0)))</f>
        <v/>
      </c>
      <c r="V114" s="14">
        <f>IF(T114="","",INDEX('Critérios e pesos'!$F$29:$F$32,MATCH(T114,'Critérios e pesos'!$A$29:$A$32,0)))</f>
        <v/>
      </c>
      <c r="W114" s="15">
        <f>IF(OR(AH114="",AJ114=""),"",IF(AI114+AJ114*60&lt;=ROUND('Critérios e pesos'!$C$37*1440,0),INT(AH114)+(AI114+AJ114*60)/1440,WORKDAY(INT(AH114),1+INT((AI114+AJ114*60-ROUND('Critérios e pesos'!$C$37*1440,0)-1)/(ROUND('Critérios e pesos'!$C$37*1440,0)-ROUND('Critérios e pesos'!$C$36*1440,0))))+(ROUND('Critérios e pesos'!$C$36*1440,0)+AI114+AJ114*60-ROUND('Critérios e pesos'!$C$37*1440,0)-INT((AI114+AJ114*60-ROUND('Critérios e pesos'!$C$37*1440,0)-1)/(ROUND('Critérios e pesos'!$C$37*1440,0)-ROUND('Critérios e pesos'!$C$36*1440,0)))*(ROUND('Critérios e pesos'!$C$37*1440,0)-ROUND('Critérios e pesos'!$C$36*1440,0)))/1440))</f>
        <v/>
      </c>
      <c r="X114" s="16" t="n"/>
      <c r="Y114" s="14">
        <f>IF(W114="","",IF(X114="",IF(NOW()&gt;W114,"Atrasado","Em espera"),IF(X114&lt;=W114,"No prazo","Atrasado")))</f>
        <v/>
      </c>
      <c r="Z114" s="17" t="n"/>
      <c r="AA114" s="14">
        <f>IF($B114="","",IF(OR(T114="X",AD114&lt;&gt;""),0,MAX(0,MIN(Q114,'Critérios e pesos'!$C$38*INT((TODAY()-IF(Z114&lt;&gt;"",Z114,INT($A114)))/7)))))</f>
        <v/>
      </c>
      <c r="AB114" s="14">
        <f>IF($B114="","",MAX(0,S114-AA114))</f>
        <v/>
      </c>
      <c r="AC114" s="9">
        <f>IF($B114="","",IF(T114="X","X",IF(AB114&gt;='Critérios e pesos'!$C$29,"A",IF(AB114&gt;='Critérios e pesos'!$C$30,"B","C"))))</f>
        <v/>
      </c>
      <c r="AD114" s="4" t="n"/>
      <c r="AE114" s="18" t="n"/>
      <c r="AF114" s="6" t="n"/>
      <c r="AH114">
        <f>IF($A114="","",IF(OR(WEEKDAY($A114,2)&gt;5,ROUND(MOD($A114,1)*1440,0)&gt;=ROUND('Critérios e pesos'!$C$37*1440,0)),WORKDAY(INT($A114),1)+ROUND('Critérios e pesos'!$C$36*1440,0)/1440,IF(ROUND(MOD($A114,1)*1440,0)&lt;ROUND('Critérios e pesos'!$C$36*1440,0),INT($A114)+ROUND('Critérios e pesos'!$C$36*1440,0)/1440,$A114)))</f>
        <v/>
      </c>
      <c r="AI114">
        <f>IF(AH114="","",ROUND(MOD(AH114,1)*1440,0))</f>
        <v/>
      </c>
      <c r="AJ114">
        <f>IF(T114="","",INDEX('Critérios e pesos'!$E$29:$E$32,MATCH(T114,'Critérios e pesos'!$A$29:$A$32,0)))</f>
        <v/>
      </c>
    </row>
    <row r="115">
      <c r="A115" s="13" t="n"/>
      <c r="B115" s="6" t="n"/>
      <c r="C115" s="6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6" t="n"/>
      <c r="O115" s="6" t="n"/>
      <c r="P115" s="14">
        <f>IF($B115="","",(E115="Claro")*'Critérios e pesos'!$G$5+(E115="Em parte")*'Critérios e pesos'!$G$5/2+(F115="Claro")*'Critérios e pesos'!$G$6+(F115="Em parte")*'Critérios e pesos'!$G$6/2+(G115="Claro")*'Critérios e pesos'!$G$7+(G115="Em parte")*'Critérios e pesos'!$G$7/2+(H115="Claro")*'Critérios e pesos'!$G$8+(H115="Em parte")*'Critérios e pesos'!$G$8/2)</f>
        <v/>
      </c>
      <c r="Q115" s="14">
        <f>IF($B115="","",(I115="Claro")*'Critérios e pesos'!$G$9+(I115="Em parte")*'Critérios e pesos'!$G$9/2+(J115="Claro")*'Critérios e pesos'!$G$10+(J115="Em parte")*'Critérios e pesos'!$G$10/2+(K115="Claro")*'Critérios e pesos'!$G$11+(K115="Em parte")*'Critérios e pesos'!$G$11/2+(L115="Claro")*'Critérios e pesos'!$G$12+(L115="Em parte")*'Critérios e pesos'!$G$12/2+(M115="Claro")*'Critérios e pesos'!$G$13+(M115="Em parte")*'Critérios e pesos'!$G$13/2)</f>
        <v/>
      </c>
      <c r="R115" s="14">
        <f>IF($B115="","",IFERROR(VLOOKUP(N115,'Critérios e pesos'!$B$17:$C$20,2,FALSE),0))</f>
        <v/>
      </c>
      <c r="S115" s="9">
        <f>IF($B115="","",MAX(0,P115+Q115+R115))</f>
        <v/>
      </c>
      <c r="T115" s="9">
        <f>IF($B115="","",IF(O115&lt;&gt;"","X",IF(S115&gt;='Critérios e pesos'!$C$29,"A",IF(S115&gt;='Critérios e pesos'!$C$30,"B","C"))))</f>
        <v/>
      </c>
      <c r="U115" s="14">
        <f>IF(T115="","",INDEX('Critérios e pesos'!$D$29:$D$32,MATCH(T115,'Critérios e pesos'!$A$29:$A$32,0)))</f>
        <v/>
      </c>
      <c r="V115" s="14">
        <f>IF(T115="","",INDEX('Critérios e pesos'!$F$29:$F$32,MATCH(T115,'Critérios e pesos'!$A$29:$A$32,0)))</f>
        <v/>
      </c>
      <c r="W115" s="15">
        <f>IF(OR(AH115="",AJ115=""),"",IF(AI115+AJ115*60&lt;=ROUND('Critérios e pesos'!$C$37*1440,0),INT(AH115)+(AI115+AJ115*60)/1440,WORKDAY(INT(AH115),1+INT((AI115+AJ115*60-ROUND('Critérios e pesos'!$C$37*1440,0)-1)/(ROUND('Critérios e pesos'!$C$37*1440,0)-ROUND('Critérios e pesos'!$C$36*1440,0))))+(ROUND('Critérios e pesos'!$C$36*1440,0)+AI115+AJ115*60-ROUND('Critérios e pesos'!$C$37*1440,0)-INT((AI115+AJ115*60-ROUND('Critérios e pesos'!$C$37*1440,0)-1)/(ROUND('Critérios e pesos'!$C$37*1440,0)-ROUND('Critérios e pesos'!$C$36*1440,0)))*(ROUND('Critérios e pesos'!$C$37*1440,0)-ROUND('Critérios e pesos'!$C$36*1440,0)))/1440))</f>
        <v/>
      </c>
      <c r="X115" s="16" t="n"/>
      <c r="Y115" s="14">
        <f>IF(W115="","",IF(X115="",IF(NOW()&gt;W115,"Atrasado","Em espera"),IF(X115&lt;=W115,"No prazo","Atrasado")))</f>
        <v/>
      </c>
      <c r="Z115" s="17" t="n"/>
      <c r="AA115" s="14">
        <f>IF($B115="","",IF(OR(T115="X",AD115&lt;&gt;""),0,MAX(0,MIN(Q115,'Critérios e pesos'!$C$38*INT((TODAY()-IF(Z115&lt;&gt;"",Z115,INT($A115)))/7)))))</f>
        <v/>
      </c>
      <c r="AB115" s="14">
        <f>IF($B115="","",MAX(0,S115-AA115))</f>
        <v/>
      </c>
      <c r="AC115" s="9">
        <f>IF($B115="","",IF(T115="X","X",IF(AB115&gt;='Critérios e pesos'!$C$29,"A",IF(AB115&gt;='Critérios e pesos'!$C$30,"B","C"))))</f>
        <v/>
      </c>
      <c r="AD115" s="4" t="n"/>
      <c r="AE115" s="18" t="n"/>
      <c r="AF115" s="6" t="n"/>
      <c r="AH115">
        <f>IF($A115="","",IF(OR(WEEKDAY($A115,2)&gt;5,ROUND(MOD($A115,1)*1440,0)&gt;=ROUND('Critérios e pesos'!$C$37*1440,0)),WORKDAY(INT($A115),1)+ROUND('Critérios e pesos'!$C$36*1440,0)/1440,IF(ROUND(MOD($A115,1)*1440,0)&lt;ROUND('Critérios e pesos'!$C$36*1440,0),INT($A115)+ROUND('Critérios e pesos'!$C$36*1440,0)/1440,$A115)))</f>
        <v/>
      </c>
      <c r="AI115">
        <f>IF(AH115="","",ROUND(MOD(AH115,1)*1440,0))</f>
        <v/>
      </c>
      <c r="AJ115">
        <f>IF(T115="","",INDEX('Critérios e pesos'!$E$29:$E$32,MATCH(T115,'Critérios e pesos'!$A$29:$A$32,0)))</f>
        <v/>
      </c>
    </row>
    <row r="116">
      <c r="A116" s="13" t="n"/>
      <c r="B116" s="6" t="n"/>
      <c r="C116" s="6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6" t="n"/>
      <c r="O116" s="6" t="n"/>
      <c r="P116" s="14">
        <f>IF($B116="","",(E116="Claro")*'Critérios e pesos'!$G$5+(E116="Em parte")*'Critérios e pesos'!$G$5/2+(F116="Claro")*'Critérios e pesos'!$G$6+(F116="Em parte")*'Critérios e pesos'!$G$6/2+(G116="Claro")*'Critérios e pesos'!$G$7+(G116="Em parte")*'Critérios e pesos'!$G$7/2+(H116="Claro")*'Critérios e pesos'!$G$8+(H116="Em parte")*'Critérios e pesos'!$G$8/2)</f>
        <v/>
      </c>
      <c r="Q116" s="14">
        <f>IF($B116="","",(I116="Claro")*'Critérios e pesos'!$G$9+(I116="Em parte")*'Critérios e pesos'!$G$9/2+(J116="Claro")*'Critérios e pesos'!$G$10+(J116="Em parte")*'Critérios e pesos'!$G$10/2+(K116="Claro")*'Critérios e pesos'!$G$11+(K116="Em parte")*'Critérios e pesos'!$G$11/2+(L116="Claro")*'Critérios e pesos'!$G$12+(L116="Em parte")*'Critérios e pesos'!$G$12/2+(M116="Claro")*'Critérios e pesos'!$G$13+(M116="Em parte")*'Critérios e pesos'!$G$13/2)</f>
        <v/>
      </c>
      <c r="R116" s="14">
        <f>IF($B116="","",IFERROR(VLOOKUP(N116,'Critérios e pesos'!$B$17:$C$20,2,FALSE),0))</f>
        <v/>
      </c>
      <c r="S116" s="9">
        <f>IF($B116="","",MAX(0,P116+Q116+R116))</f>
        <v/>
      </c>
      <c r="T116" s="9">
        <f>IF($B116="","",IF(O116&lt;&gt;"","X",IF(S116&gt;='Critérios e pesos'!$C$29,"A",IF(S116&gt;='Critérios e pesos'!$C$30,"B","C"))))</f>
        <v/>
      </c>
      <c r="U116" s="14">
        <f>IF(T116="","",INDEX('Critérios e pesos'!$D$29:$D$32,MATCH(T116,'Critérios e pesos'!$A$29:$A$32,0)))</f>
        <v/>
      </c>
      <c r="V116" s="14">
        <f>IF(T116="","",INDEX('Critérios e pesos'!$F$29:$F$32,MATCH(T116,'Critérios e pesos'!$A$29:$A$32,0)))</f>
        <v/>
      </c>
      <c r="W116" s="15">
        <f>IF(OR(AH116="",AJ116=""),"",IF(AI116+AJ116*60&lt;=ROUND('Critérios e pesos'!$C$37*1440,0),INT(AH116)+(AI116+AJ116*60)/1440,WORKDAY(INT(AH116),1+INT((AI116+AJ116*60-ROUND('Critérios e pesos'!$C$37*1440,0)-1)/(ROUND('Critérios e pesos'!$C$37*1440,0)-ROUND('Critérios e pesos'!$C$36*1440,0))))+(ROUND('Critérios e pesos'!$C$36*1440,0)+AI116+AJ116*60-ROUND('Critérios e pesos'!$C$37*1440,0)-INT((AI116+AJ116*60-ROUND('Critérios e pesos'!$C$37*1440,0)-1)/(ROUND('Critérios e pesos'!$C$37*1440,0)-ROUND('Critérios e pesos'!$C$36*1440,0)))*(ROUND('Critérios e pesos'!$C$37*1440,0)-ROUND('Critérios e pesos'!$C$36*1440,0)))/1440))</f>
        <v/>
      </c>
      <c r="X116" s="16" t="n"/>
      <c r="Y116" s="14">
        <f>IF(W116="","",IF(X116="",IF(NOW()&gt;W116,"Atrasado","Em espera"),IF(X116&lt;=W116,"No prazo","Atrasado")))</f>
        <v/>
      </c>
      <c r="Z116" s="17" t="n"/>
      <c r="AA116" s="14">
        <f>IF($B116="","",IF(OR(T116="X",AD116&lt;&gt;""),0,MAX(0,MIN(Q116,'Critérios e pesos'!$C$38*INT((TODAY()-IF(Z116&lt;&gt;"",Z116,INT($A116)))/7)))))</f>
        <v/>
      </c>
      <c r="AB116" s="14">
        <f>IF($B116="","",MAX(0,S116-AA116))</f>
        <v/>
      </c>
      <c r="AC116" s="9">
        <f>IF($B116="","",IF(T116="X","X",IF(AB116&gt;='Critérios e pesos'!$C$29,"A",IF(AB116&gt;='Critérios e pesos'!$C$30,"B","C"))))</f>
        <v/>
      </c>
      <c r="AD116" s="4" t="n"/>
      <c r="AE116" s="18" t="n"/>
      <c r="AF116" s="6" t="n"/>
      <c r="AH116">
        <f>IF($A116="","",IF(OR(WEEKDAY($A116,2)&gt;5,ROUND(MOD($A116,1)*1440,0)&gt;=ROUND('Critérios e pesos'!$C$37*1440,0)),WORKDAY(INT($A116),1)+ROUND('Critérios e pesos'!$C$36*1440,0)/1440,IF(ROUND(MOD($A116,1)*1440,0)&lt;ROUND('Critérios e pesos'!$C$36*1440,0),INT($A116)+ROUND('Critérios e pesos'!$C$36*1440,0)/1440,$A116)))</f>
        <v/>
      </c>
      <c r="AI116">
        <f>IF(AH116="","",ROUND(MOD(AH116,1)*1440,0))</f>
        <v/>
      </c>
      <c r="AJ116">
        <f>IF(T116="","",INDEX('Critérios e pesos'!$E$29:$E$32,MATCH(T116,'Critérios e pesos'!$A$29:$A$32,0)))</f>
        <v/>
      </c>
    </row>
    <row r="117">
      <c r="A117" s="13" t="n"/>
      <c r="B117" s="6" t="n"/>
      <c r="C117" s="6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6" t="n"/>
      <c r="O117" s="6" t="n"/>
      <c r="P117" s="14">
        <f>IF($B117="","",(E117="Claro")*'Critérios e pesos'!$G$5+(E117="Em parte")*'Critérios e pesos'!$G$5/2+(F117="Claro")*'Critérios e pesos'!$G$6+(F117="Em parte")*'Critérios e pesos'!$G$6/2+(G117="Claro")*'Critérios e pesos'!$G$7+(G117="Em parte")*'Critérios e pesos'!$G$7/2+(H117="Claro")*'Critérios e pesos'!$G$8+(H117="Em parte")*'Critérios e pesos'!$G$8/2)</f>
        <v/>
      </c>
      <c r="Q117" s="14">
        <f>IF($B117="","",(I117="Claro")*'Critérios e pesos'!$G$9+(I117="Em parte")*'Critérios e pesos'!$G$9/2+(J117="Claro")*'Critérios e pesos'!$G$10+(J117="Em parte")*'Critérios e pesos'!$G$10/2+(K117="Claro")*'Critérios e pesos'!$G$11+(K117="Em parte")*'Critérios e pesos'!$G$11/2+(L117="Claro")*'Critérios e pesos'!$G$12+(L117="Em parte")*'Critérios e pesos'!$G$12/2+(M117="Claro")*'Critérios e pesos'!$G$13+(M117="Em parte")*'Critérios e pesos'!$G$13/2)</f>
        <v/>
      </c>
      <c r="R117" s="14">
        <f>IF($B117="","",IFERROR(VLOOKUP(N117,'Critérios e pesos'!$B$17:$C$20,2,FALSE),0))</f>
        <v/>
      </c>
      <c r="S117" s="9">
        <f>IF($B117="","",MAX(0,P117+Q117+R117))</f>
        <v/>
      </c>
      <c r="T117" s="9">
        <f>IF($B117="","",IF(O117&lt;&gt;"","X",IF(S117&gt;='Critérios e pesos'!$C$29,"A",IF(S117&gt;='Critérios e pesos'!$C$30,"B","C"))))</f>
        <v/>
      </c>
      <c r="U117" s="14">
        <f>IF(T117="","",INDEX('Critérios e pesos'!$D$29:$D$32,MATCH(T117,'Critérios e pesos'!$A$29:$A$32,0)))</f>
        <v/>
      </c>
      <c r="V117" s="14">
        <f>IF(T117="","",INDEX('Critérios e pesos'!$F$29:$F$32,MATCH(T117,'Critérios e pesos'!$A$29:$A$32,0)))</f>
        <v/>
      </c>
      <c r="W117" s="15">
        <f>IF(OR(AH117="",AJ117=""),"",IF(AI117+AJ117*60&lt;=ROUND('Critérios e pesos'!$C$37*1440,0),INT(AH117)+(AI117+AJ117*60)/1440,WORKDAY(INT(AH117),1+INT((AI117+AJ117*60-ROUND('Critérios e pesos'!$C$37*1440,0)-1)/(ROUND('Critérios e pesos'!$C$37*1440,0)-ROUND('Critérios e pesos'!$C$36*1440,0))))+(ROUND('Critérios e pesos'!$C$36*1440,0)+AI117+AJ117*60-ROUND('Critérios e pesos'!$C$37*1440,0)-INT((AI117+AJ117*60-ROUND('Critérios e pesos'!$C$37*1440,0)-1)/(ROUND('Critérios e pesos'!$C$37*1440,0)-ROUND('Critérios e pesos'!$C$36*1440,0)))*(ROUND('Critérios e pesos'!$C$37*1440,0)-ROUND('Critérios e pesos'!$C$36*1440,0)))/1440))</f>
        <v/>
      </c>
      <c r="X117" s="16" t="n"/>
      <c r="Y117" s="14">
        <f>IF(W117="","",IF(X117="",IF(NOW()&gt;W117,"Atrasado","Em espera"),IF(X117&lt;=W117,"No prazo","Atrasado")))</f>
        <v/>
      </c>
      <c r="Z117" s="17" t="n"/>
      <c r="AA117" s="14">
        <f>IF($B117="","",IF(OR(T117="X",AD117&lt;&gt;""),0,MAX(0,MIN(Q117,'Critérios e pesos'!$C$38*INT((TODAY()-IF(Z117&lt;&gt;"",Z117,INT($A117)))/7)))))</f>
        <v/>
      </c>
      <c r="AB117" s="14">
        <f>IF($B117="","",MAX(0,S117-AA117))</f>
        <v/>
      </c>
      <c r="AC117" s="9">
        <f>IF($B117="","",IF(T117="X","X",IF(AB117&gt;='Critérios e pesos'!$C$29,"A",IF(AB117&gt;='Critérios e pesos'!$C$30,"B","C"))))</f>
        <v/>
      </c>
      <c r="AD117" s="4" t="n"/>
      <c r="AE117" s="18" t="n"/>
      <c r="AF117" s="6" t="n"/>
      <c r="AH117">
        <f>IF($A117="","",IF(OR(WEEKDAY($A117,2)&gt;5,ROUND(MOD($A117,1)*1440,0)&gt;=ROUND('Critérios e pesos'!$C$37*1440,0)),WORKDAY(INT($A117),1)+ROUND('Critérios e pesos'!$C$36*1440,0)/1440,IF(ROUND(MOD($A117,1)*1440,0)&lt;ROUND('Critérios e pesos'!$C$36*1440,0),INT($A117)+ROUND('Critérios e pesos'!$C$36*1440,0)/1440,$A117)))</f>
        <v/>
      </c>
      <c r="AI117">
        <f>IF(AH117="","",ROUND(MOD(AH117,1)*1440,0))</f>
        <v/>
      </c>
      <c r="AJ117">
        <f>IF(T117="","",INDEX('Critérios e pesos'!$E$29:$E$32,MATCH(T117,'Critérios e pesos'!$A$29:$A$32,0)))</f>
        <v/>
      </c>
    </row>
    <row r="118">
      <c r="A118" s="13" t="n"/>
      <c r="B118" s="6" t="n"/>
      <c r="C118" s="6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6" t="n"/>
      <c r="O118" s="6" t="n"/>
      <c r="P118" s="14">
        <f>IF($B118="","",(E118="Claro")*'Critérios e pesos'!$G$5+(E118="Em parte")*'Critérios e pesos'!$G$5/2+(F118="Claro")*'Critérios e pesos'!$G$6+(F118="Em parte")*'Critérios e pesos'!$G$6/2+(G118="Claro")*'Critérios e pesos'!$G$7+(G118="Em parte")*'Critérios e pesos'!$G$7/2+(H118="Claro")*'Critérios e pesos'!$G$8+(H118="Em parte")*'Critérios e pesos'!$G$8/2)</f>
        <v/>
      </c>
      <c r="Q118" s="14">
        <f>IF($B118="","",(I118="Claro")*'Critérios e pesos'!$G$9+(I118="Em parte")*'Critérios e pesos'!$G$9/2+(J118="Claro")*'Critérios e pesos'!$G$10+(J118="Em parte")*'Critérios e pesos'!$G$10/2+(K118="Claro")*'Critérios e pesos'!$G$11+(K118="Em parte")*'Critérios e pesos'!$G$11/2+(L118="Claro")*'Critérios e pesos'!$G$12+(L118="Em parte")*'Critérios e pesos'!$G$12/2+(M118="Claro")*'Critérios e pesos'!$G$13+(M118="Em parte")*'Critérios e pesos'!$G$13/2)</f>
        <v/>
      </c>
      <c r="R118" s="14">
        <f>IF($B118="","",IFERROR(VLOOKUP(N118,'Critérios e pesos'!$B$17:$C$20,2,FALSE),0))</f>
        <v/>
      </c>
      <c r="S118" s="9">
        <f>IF($B118="","",MAX(0,P118+Q118+R118))</f>
        <v/>
      </c>
      <c r="T118" s="9">
        <f>IF($B118="","",IF(O118&lt;&gt;"","X",IF(S118&gt;='Critérios e pesos'!$C$29,"A",IF(S118&gt;='Critérios e pesos'!$C$30,"B","C"))))</f>
        <v/>
      </c>
      <c r="U118" s="14">
        <f>IF(T118="","",INDEX('Critérios e pesos'!$D$29:$D$32,MATCH(T118,'Critérios e pesos'!$A$29:$A$32,0)))</f>
        <v/>
      </c>
      <c r="V118" s="14">
        <f>IF(T118="","",INDEX('Critérios e pesos'!$F$29:$F$32,MATCH(T118,'Critérios e pesos'!$A$29:$A$32,0)))</f>
        <v/>
      </c>
      <c r="W118" s="15">
        <f>IF(OR(AH118="",AJ118=""),"",IF(AI118+AJ118*60&lt;=ROUND('Critérios e pesos'!$C$37*1440,0),INT(AH118)+(AI118+AJ118*60)/1440,WORKDAY(INT(AH118),1+INT((AI118+AJ118*60-ROUND('Critérios e pesos'!$C$37*1440,0)-1)/(ROUND('Critérios e pesos'!$C$37*1440,0)-ROUND('Critérios e pesos'!$C$36*1440,0))))+(ROUND('Critérios e pesos'!$C$36*1440,0)+AI118+AJ118*60-ROUND('Critérios e pesos'!$C$37*1440,0)-INT((AI118+AJ118*60-ROUND('Critérios e pesos'!$C$37*1440,0)-1)/(ROUND('Critérios e pesos'!$C$37*1440,0)-ROUND('Critérios e pesos'!$C$36*1440,0)))*(ROUND('Critérios e pesos'!$C$37*1440,0)-ROUND('Critérios e pesos'!$C$36*1440,0)))/1440))</f>
        <v/>
      </c>
      <c r="X118" s="16" t="n"/>
      <c r="Y118" s="14">
        <f>IF(W118="","",IF(X118="",IF(NOW()&gt;W118,"Atrasado","Em espera"),IF(X118&lt;=W118,"No prazo","Atrasado")))</f>
        <v/>
      </c>
      <c r="Z118" s="17" t="n"/>
      <c r="AA118" s="14">
        <f>IF($B118="","",IF(OR(T118="X",AD118&lt;&gt;""),0,MAX(0,MIN(Q118,'Critérios e pesos'!$C$38*INT((TODAY()-IF(Z118&lt;&gt;"",Z118,INT($A118)))/7)))))</f>
        <v/>
      </c>
      <c r="AB118" s="14">
        <f>IF($B118="","",MAX(0,S118-AA118))</f>
        <v/>
      </c>
      <c r="AC118" s="9">
        <f>IF($B118="","",IF(T118="X","X",IF(AB118&gt;='Critérios e pesos'!$C$29,"A",IF(AB118&gt;='Critérios e pesos'!$C$30,"B","C"))))</f>
        <v/>
      </c>
      <c r="AD118" s="4" t="n"/>
      <c r="AE118" s="18" t="n"/>
      <c r="AF118" s="6" t="n"/>
      <c r="AH118">
        <f>IF($A118="","",IF(OR(WEEKDAY($A118,2)&gt;5,ROUND(MOD($A118,1)*1440,0)&gt;=ROUND('Critérios e pesos'!$C$37*1440,0)),WORKDAY(INT($A118),1)+ROUND('Critérios e pesos'!$C$36*1440,0)/1440,IF(ROUND(MOD($A118,1)*1440,0)&lt;ROUND('Critérios e pesos'!$C$36*1440,0),INT($A118)+ROUND('Critérios e pesos'!$C$36*1440,0)/1440,$A118)))</f>
        <v/>
      </c>
      <c r="AI118">
        <f>IF(AH118="","",ROUND(MOD(AH118,1)*1440,0))</f>
        <v/>
      </c>
      <c r="AJ118">
        <f>IF(T118="","",INDEX('Critérios e pesos'!$E$29:$E$32,MATCH(T118,'Critérios e pesos'!$A$29:$A$32,0)))</f>
        <v/>
      </c>
    </row>
    <row r="119">
      <c r="A119" s="13" t="n"/>
      <c r="B119" s="6" t="n"/>
      <c r="C119" s="6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6" t="n"/>
      <c r="O119" s="6" t="n"/>
      <c r="P119" s="14">
        <f>IF($B119="","",(E119="Claro")*'Critérios e pesos'!$G$5+(E119="Em parte")*'Critérios e pesos'!$G$5/2+(F119="Claro")*'Critérios e pesos'!$G$6+(F119="Em parte")*'Critérios e pesos'!$G$6/2+(G119="Claro")*'Critérios e pesos'!$G$7+(G119="Em parte")*'Critérios e pesos'!$G$7/2+(H119="Claro")*'Critérios e pesos'!$G$8+(H119="Em parte")*'Critérios e pesos'!$G$8/2)</f>
        <v/>
      </c>
      <c r="Q119" s="14">
        <f>IF($B119="","",(I119="Claro")*'Critérios e pesos'!$G$9+(I119="Em parte")*'Critérios e pesos'!$G$9/2+(J119="Claro")*'Critérios e pesos'!$G$10+(J119="Em parte")*'Critérios e pesos'!$G$10/2+(K119="Claro")*'Critérios e pesos'!$G$11+(K119="Em parte")*'Critérios e pesos'!$G$11/2+(L119="Claro")*'Critérios e pesos'!$G$12+(L119="Em parte")*'Critérios e pesos'!$G$12/2+(M119="Claro")*'Critérios e pesos'!$G$13+(M119="Em parte")*'Critérios e pesos'!$G$13/2)</f>
        <v/>
      </c>
      <c r="R119" s="14">
        <f>IF($B119="","",IFERROR(VLOOKUP(N119,'Critérios e pesos'!$B$17:$C$20,2,FALSE),0))</f>
        <v/>
      </c>
      <c r="S119" s="9">
        <f>IF($B119="","",MAX(0,P119+Q119+R119))</f>
        <v/>
      </c>
      <c r="T119" s="9">
        <f>IF($B119="","",IF(O119&lt;&gt;"","X",IF(S119&gt;='Critérios e pesos'!$C$29,"A",IF(S119&gt;='Critérios e pesos'!$C$30,"B","C"))))</f>
        <v/>
      </c>
      <c r="U119" s="14">
        <f>IF(T119="","",INDEX('Critérios e pesos'!$D$29:$D$32,MATCH(T119,'Critérios e pesos'!$A$29:$A$32,0)))</f>
        <v/>
      </c>
      <c r="V119" s="14">
        <f>IF(T119="","",INDEX('Critérios e pesos'!$F$29:$F$32,MATCH(T119,'Critérios e pesos'!$A$29:$A$32,0)))</f>
        <v/>
      </c>
      <c r="W119" s="15">
        <f>IF(OR(AH119="",AJ119=""),"",IF(AI119+AJ119*60&lt;=ROUND('Critérios e pesos'!$C$37*1440,0),INT(AH119)+(AI119+AJ119*60)/1440,WORKDAY(INT(AH119),1+INT((AI119+AJ119*60-ROUND('Critérios e pesos'!$C$37*1440,0)-1)/(ROUND('Critérios e pesos'!$C$37*1440,0)-ROUND('Critérios e pesos'!$C$36*1440,0))))+(ROUND('Critérios e pesos'!$C$36*1440,0)+AI119+AJ119*60-ROUND('Critérios e pesos'!$C$37*1440,0)-INT((AI119+AJ119*60-ROUND('Critérios e pesos'!$C$37*1440,0)-1)/(ROUND('Critérios e pesos'!$C$37*1440,0)-ROUND('Critérios e pesos'!$C$36*1440,0)))*(ROUND('Critérios e pesos'!$C$37*1440,0)-ROUND('Critérios e pesos'!$C$36*1440,0)))/1440))</f>
        <v/>
      </c>
      <c r="X119" s="16" t="n"/>
      <c r="Y119" s="14">
        <f>IF(W119="","",IF(X119="",IF(NOW()&gt;W119,"Atrasado","Em espera"),IF(X119&lt;=W119,"No prazo","Atrasado")))</f>
        <v/>
      </c>
      <c r="Z119" s="17" t="n"/>
      <c r="AA119" s="14">
        <f>IF($B119="","",IF(OR(T119="X",AD119&lt;&gt;""),0,MAX(0,MIN(Q119,'Critérios e pesos'!$C$38*INT((TODAY()-IF(Z119&lt;&gt;"",Z119,INT($A119)))/7)))))</f>
        <v/>
      </c>
      <c r="AB119" s="14">
        <f>IF($B119="","",MAX(0,S119-AA119))</f>
        <v/>
      </c>
      <c r="AC119" s="9">
        <f>IF($B119="","",IF(T119="X","X",IF(AB119&gt;='Critérios e pesos'!$C$29,"A",IF(AB119&gt;='Critérios e pesos'!$C$30,"B","C"))))</f>
        <v/>
      </c>
      <c r="AD119" s="4" t="n"/>
      <c r="AE119" s="18" t="n"/>
      <c r="AF119" s="6" t="n"/>
      <c r="AH119">
        <f>IF($A119="","",IF(OR(WEEKDAY($A119,2)&gt;5,ROUND(MOD($A119,1)*1440,0)&gt;=ROUND('Critérios e pesos'!$C$37*1440,0)),WORKDAY(INT($A119),1)+ROUND('Critérios e pesos'!$C$36*1440,0)/1440,IF(ROUND(MOD($A119,1)*1440,0)&lt;ROUND('Critérios e pesos'!$C$36*1440,0),INT($A119)+ROUND('Critérios e pesos'!$C$36*1440,0)/1440,$A119)))</f>
        <v/>
      </c>
      <c r="AI119">
        <f>IF(AH119="","",ROUND(MOD(AH119,1)*1440,0))</f>
        <v/>
      </c>
      <c r="AJ119">
        <f>IF(T119="","",INDEX('Critérios e pesos'!$E$29:$E$32,MATCH(T119,'Critérios e pesos'!$A$29:$A$32,0)))</f>
        <v/>
      </c>
    </row>
    <row r="120">
      <c r="A120" s="13" t="n"/>
      <c r="B120" s="6" t="n"/>
      <c r="C120" s="6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6" t="n"/>
      <c r="O120" s="6" t="n"/>
      <c r="P120" s="14">
        <f>IF($B120="","",(E120="Claro")*'Critérios e pesos'!$G$5+(E120="Em parte")*'Critérios e pesos'!$G$5/2+(F120="Claro")*'Critérios e pesos'!$G$6+(F120="Em parte")*'Critérios e pesos'!$G$6/2+(G120="Claro")*'Critérios e pesos'!$G$7+(G120="Em parte")*'Critérios e pesos'!$G$7/2+(H120="Claro")*'Critérios e pesos'!$G$8+(H120="Em parte")*'Critérios e pesos'!$G$8/2)</f>
        <v/>
      </c>
      <c r="Q120" s="14">
        <f>IF($B120="","",(I120="Claro")*'Critérios e pesos'!$G$9+(I120="Em parte")*'Critérios e pesos'!$G$9/2+(J120="Claro")*'Critérios e pesos'!$G$10+(J120="Em parte")*'Critérios e pesos'!$G$10/2+(K120="Claro")*'Critérios e pesos'!$G$11+(K120="Em parte")*'Critérios e pesos'!$G$11/2+(L120="Claro")*'Critérios e pesos'!$G$12+(L120="Em parte")*'Critérios e pesos'!$G$12/2+(M120="Claro")*'Critérios e pesos'!$G$13+(M120="Em parte")*'Critérios e pesos'!$G$13/2)</f>
        <v/>
      </c>
      <c r="R120" s="14">
        <f>IF($B120="","",IFERROR(VLOOKUP(N120,'Critérios e pesos'!$B$17:$C$20,2,FALSE),0))</f>
        <v/>
      </c>
      <c r="S120" s="9">
        <f>IF($B120="","",MAX(0,P120+Q120+R120))</f>
        <v/>
      </c>
      <c r="T120" s="9">
        <f>IF($B120="","",IF(O120&lt;&gt;"","X",IF(S120&gt;='Critérios e pesos'!$C$29,"A",IF(S120&gt;='Critérios e pesos'!$C$30,"B","C"))))</f>
        <v/>
      </c>
      <c r="U120" s="14">
        <f>IF(T120="","",INDEX('Critérios e pesos'!$D$29:$D$32,MATCH(T120,'Critérios e pesos'!$A$29:$A$32,0)))</f>
        <v/>
      </c>
      <c r="V120" s="14">
        <f>IF(T120="","",INDEX('Critérios e pesos'!$F$29:$F$32,MATCH(T120,'Critérios e pesos'!$A$29:$A$32,0)))</f>
        <v/>
      </c>
      <c r="W120" s="15">
        <f>IF(OR(AH120="",AJ120=""),"",IF(AI120+AJ120*60&lt;=ROUND('Critérios e pesos'!$C$37*1440,0),INT(AH120)+(AI120+AJ120*60)/1440,WORKDAY(INT(AH120),1+INT((AI120+AJ120*60-ROUND('Critérios e pesos'!$C$37*1440,0)-1)/(ROUND('Critérios e pesos'!$C$37*1440,0)-ROUND('Critérios e pesos'!$C$36*1440,0))))+(ROUND('Critérios e pesos'!$C$36*1440,0)+AI120+AJ120*60-ROUND('Critérios e pesos'!$C$37*1440,0)-INT((AI120+AJ120*60-ROUND('Critérios e pesos'!$C$37*1440,0)-1)/(ROUND('Critérios e pesos'!$C$37*1440,0)-ROUND('Critérios e pesos'!$C$36*1440,0)))*(ROUND('Critérios e pesos'!$C$37*1440,0)-ROUND('Critérios e pesos'!$C$36*1440,0)))/1440))</f>
        <v/>
      </c>
      <c r="X120" s="16" t="n"/>
      <c r="Y120" s="14">
        <f>IF(W120="","",IF(X120="",IF(NOW()&gt;W120,"Atrasado","Em espera"),IF(X120&lt;=W120,"No prazo","Atrasado")))</f>
        <v/>
      </c>
      <c r="Z120" s="17" t="n"/>
      <c r="AA120" s="14">
        <f>IF($B120="","",IF(OR(T120="X",AD120&lt;&gt;""),0,MAX(0,MIN(Q120,'Critérios e pesos'!$C$38*INT((TODAY()-IF(Z120&lt;&gt;"",Z120,INT($A120)))/7)))))</f>
        <v/>
      </c>
      <c r="AB120" s="14">
        <f>IF($B120="","",MAX(0,S120-AA120))</f>
        <v/>
      </c>
      <c r="AC120" s="9">
        <f>IF($B120="","",IF(T120="X","X",IF(AB120&gt;='Critérios e pesos'!$C$29,"A",IF(AB120&gt;='Critérios e pesos'!$C$30,"B","C"))))</f>
        <v/>
      </c>
      <c r="AD120" s="4" t="n"/>
      <c r="AE120" s="18" t="n"/>
      <c r="AF120" s="6" t="n"/>
      <c r="AH120">
        <f>IF($A120="","",IF(OR(WEEKDAY($A120,2)&gt;5,ROUND(MOD($A120,1)*1440,0)&gt;=ROUND('Critérios e pesos'!$C$37*1440,0)),WORKDAY(INT($A120),1)+ROUND('Critérios e pesos'!$C$36*1440,0)/1440,IF(ROUND(MOD($A120,1)*1440,0)&lt;ROUND('Critérios e pesos'!$C$36*1440,0),INT($A120)+ROUND('Critérios e pesos'!$C$36*1440,0)/1440,$A120)))</f>
        <v/>
      </c>
      <c r="AI120">
        <f>IF(AH120="","",ROUND(MOD(AH120,1)*1440,0))</f>
        <v/>
      </c>
      <c r="AJ120">
        <f>IF(T120="","",INDEX('Critérios e pesos'!$E$29:$E$32,MATCH(T120,'Critérios e pesos'!$A$29:$A$32,0)))</f>
        <v/>
      </c>
    </row>
    <row r="121">
      <c r="A121" s="13" t="n"/>
      <c r="B121" s="6" t="n"/>
      <c r="C121" s="6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6" t="n"/>
      <c r="O121" s="6" t="n"/>
      <c r="P121" s="14">
        <f>IF($B121="","",(E121="Claro")*'Critérios e pesos'!$G$5+(E121="Em parte")*'Critérios e pesos'!$G$5/2+(F121="Claro")*'Critérios e pesos'!$G$6+(F121="Em parte")*'Critérios e pesos'!$G$6/2+(G121="Claro")*'Critérios e pesos'!$G$7+(G121="Em parte")*'Critérios e pesos'!$G$7/2+(H121="Claro")*'Critérios e pesos'!$G$8+(H121="Em parte")*'Critérios e pesos'!$G$8/2)</f>
        <v/>
      </c>
      <c r="Q121" s="14">
        <f>IF($B121="","",(I121="Claro")*'Critérios e pesos'!$G$9+(I121="Em parte")*'Critérios e pesos'!$G$9/2+(J121="Claro")*'Critérios e pesos'!$G$10+(J121="Em parte")*'Critérios e pesos'!$G$10/2+(K121="Claro")*'Critérios e pesos'!$G$11+(K121="Em parte")*'Critérios e pesos'!$G$11/2+(L121="Claro")*'Critérios e pesos'!$G$12+(L121="Em parte")*'Critérios e pesos'!$G$12/2+(M121="Claro")*'Critérios e pesos'!$G$13+(M121="Em parte")*'Critérios e pesos'!$G$13/2)</f>
        <v/>
      </c>
      <c r="R121" s="14">
        <f>IF($B121="","",IFERROR(VLOOKUP(N121,'Critérios e pesos'!$B$17:$C$20,2,FALSE),0))</f>
        <v/>
      </c>
      <c r="S121" s="9">
        <f>IF($B121="","",MAX(0,P121+Q121+R121))</f>
        <v/>
      </c>
      <c r="T121" s="9">
        <f>IF($B121="","",IF(O121&lt;&gt;"","X",IF(S121&gt;='Critérios e pesos'!$C$29,"A",IF(S121&gt;='Critérios e pesos'!$C$30,"B","C"))))</f>
        <v/>
      </c>
      <c r="U121" s="14">
        <f>IF(T121="","",INDEX('Critérios e pesos'!$D$29:$D$32,MATCH(T121,'Critérios e pesos'!$A$29:$A$32,0)))</f>
        <v/>
      </c>
      <c r="V121" s="14">
        <f>IF(T121="","",INDEX('Critérios e pesos'!$F$29:$F$32,MATCH(T121,'Critérios e pesos'!$A$29:$A$32,0)))</f>
        <v/>
      </c>
      <c r="W121" s="15">
        <f>IF(OR(AH121="",AJ121=""),"",IF(AI121+AJ121*60&lt;=ROUND('Critérios e pesos'!$C$37*1440,0),INT(AH121)+(AI121+AJ121*60)/1440,WORKDAY(INT(AH121),1+INT((AI121+AJ121*60-ROUND('Critérios e pesos'!$C$37*1440,0)-1)/(ROUND('Critérios e pesos'!$C$37*1440,0)-ROUND('Critérios e pesos'!$C$36*1440,0))))+(ROUND('Critérios e pesos'!$C$36*1440,0)+AI121+AJ121*60-ROUND('Critérios e pesos'!$C$37*1440,0)-INT((AI121+AJ121*60-ROUND('Critérios e pesos'!$C$37*1440,0)-1)/(ROUND('Critérios e pesos'!$C$37*1440,0)-ROUND('Critérios e pesos'!$C$36*1440,0)))*(ROUND('Critérios e pesos'!$C$37*1440,0)-ROUND('Critérios e pesos'!$C$36*1440,0)))/1440))</f>
        <v/>
      </c>
      <c r="X121" s="16" t="n"/>
      <c r="Y121" s="14">
        <f>IF(W121="","",IF(X121="",IF(NOW()&gt;W121,"Atrasado","Em espera"),IF(X121&lt;=W121,"No prazo","Atrasado")))</f>
        <v/>
      </c>
      <c r="Z121" s="17" t="n"/>
      <c r="AA121" s="14">
        <f>IF($B121="","",IF(OR(T121="X",AD121&lt;&gt;""),0,MAX(0,MIN(Q121,'Critérios e pesos'!$C$38*INT((TODAY()-IF(Z121&lt;&gt;"",Z121,INT($A121)))/7)))))</f>
        <v/>
      </c>
      <c r="AB121" s="14">
        <f>IF($B121="","",MAX(0,S121-AA121))</f>
        <v/>
      </c>
      <c r="AC121" s="9">
        <f>IF($B121="","",IF(T121="X","X",IF(AB121&gt;='Critérios e pesos'!$C$29,"A",IF(AB121&gt;='Critérios e pesos'!$C$30,"B","C"))))</f>
        <v/>
      </c>
      <c r="AD121" s="4" t="n"/>
      <c r="AE121" s="18" t="n"/>
      <c r="AF121" s="6" t="n"/>
      <c r="AH121">
        <f>IF($A121="","",IF(OR(WEEKDAY($A121,2)&gt;5,ROUND(MOD($A121,1)*1440,0)&gt;=ROUND('Critérios e pesos'!$C$37*1440,0)),WORKDAY(INT($A121),1)+ROUND('Critérios e pesos'!$C$36*1440,0)/1440,IF(ROUND(MOD($A121,1)*1440,0)&lt;ROUND('Critérios e pesos'!$C$36*1440,0),INT($A121)+ROUND('Critérios e pesos'!$C$36*1440,0)/1440,$A121)))</f>
        <v/>
      </c>
      <c r="AI121">
        <f>IF(AH121="","",ROUND(MOD(AH121,1)*1440,0))</f>
        <v/>
      </c>
      <c r="AJ121">
        <f>IF(T121="","",INDEX('Critérios e pesos'!$E$29:$E$32,MATCH(T121,'Critérios e pesos'!$A$29:$A$32,0)))</f>
        <v/>
      </c>
    </row>
    <row r="122">
      <c r="A122" s="13" t="n"/>
      <c r="B122" s="6" t="n"/>
      <c r="C122" s="6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6" t="n"/>
      <c r="O122" s="6" t="n"/>
      <c r="P122" s="14">
        <f>IF($B122="","",(E122="Claro")*'Critérios e pesos'!$G$5+(E122="Em parte")*'Critérios e pesos'!$G$5/2+(F122="Claro")*'Critérios e pesos'!$G$6+(F122="Em parte")*'Critérios e pesos'!$G$6/2+(G122="Claro")*'Critérios e pesos'!$G$7+(G122="Em parte")*'Critérios e pesos'!$G$7/2+(H122="Claro")*'Critérios e pesos'!$G$8+(H122="Em parte")*'Critérios e pesos'!$G$8/2)</f>
        <v/>
      </c>
      <c r="Q122" s="14">
        <f>IF($B122="","",(I122="Claro")*'Critérios e pesos'!$G$9+(I122="Em parte")*'Critérios e pesos'!$G$9/2+(J122="Claro")*'Critérios e pesos'!$G$10+(J122="Em parte")*'Critérios e pesos'!$G$10/2+(K122="Claro")*'Critérios e pesos'!$G$11+(K122="Em parte")*'Critérios e pesos'!$G$11/2+(L122="Claro")*'Critérios e pesos'!$G$12+(L122="Em parte")*'Critérios e pesos'!$G$12/2+(M122="Claro")*'Critérios e pesos'!$G$13+(M122="Em parte")*'Critérios e pesos'!$G$13/2)</f>
        <v/>
      </c>
      <c r="R122" s="14">
        <f>IF($B122="","",IFERROR(VLOOKUP(N122,'Critérios e pesos'!$B$17:$C$20,2,FALSE),0))</f>
        <v/>
      </c>
      <c r="S122" s="9">
        <f>IF($B122="","",MAX(0,P122+Q122+R122))</f>
        <v/>
      </c>
      <c r="T122" s="9">
        <f>IF($B122="","",IF(O122&lt;&gt;"","X",IF(S122&gt;='Critérios e pesos'!$C$29,"A",IF(S122&gt;='Critérios e pesos'!$C$30,"B","C"))))</f>
        <v/>
      </c>
      <c r="U122" s="14">
        <f>IF(T122="","",INDEX('Critérios e pesos'!$D$29:$D$32,MATCH(T122,'Critérios e pesos'!$A$29:$A$32,0)))</f>
        <v/>
      </c>
      <c r="V122" s="14">
        <f>IF(T122="","",INDEX('Critérios e pesos'!$F$29:$F$32,MATCH(T122,'Critérios e pesos'!$A$29:$A$32,0)))</f>
        <v/>
      </c>
      <c r="W122" s="15">
        <f>IF(OR(AH122="",AJ122=""),"",IF(AI122+AJ122*60&lt;=ROUND('Critérios e pesos'!$C$37*1440,0),INT(AH122)+(AI122+AJ122*60)/1440,WORKDAY(INT(AH122),1+INT((AI122+AJ122*60-ROUND('Critérios e pesos'!$C$37*1440,0)-1)/(ROUND('Critérios e pesos'!$C$37*1440,0)-ROUND('Critérios e pesos'!$C$36*1440,0))))+(ROUND('Critérios e pesos'!$C$36*1440,0)+AI122+AJ122*60-ROUND('Critérios e pesos'!$C$37*1440,0)-INT((AI122+AJ122*60-ROUND('Critérios e pesos'!$C$37*1440,0)-1)/(ROUND('Critérios e pesos'!$C$37*1440,0)-ROUND('Critérios e pesos'!$C$36*1440,0)))*(ROUND('Critérios e pesos'!$C$37*1440,0)-ROUND('Critérios e pesos'!$C$36*1440,0)))/1440))</f>
        <v/>
      </c>
      <c r="X122" s="16" t="n"/>
      <c r="Y122" s="14">
        <f>IF(W122="","",IF(X122="",IF(NOW()&gt;W122,"Atrasado","Em espera"),IF(X122&lt;=W122,"No prazo","Atrasado")))</f>
        <v/>
      </c>
      <c r="Z122" s="17" t="n"/>
      <c r="AA122" s="14">
        <f>IF($B122="","",IF(OR(T122="X",AD122&lt;&gt;""),0,MAX(0,MIN(Q122,'Critérios e pesos'!$C$38*INT((TODAY()-IF(Z122&lt;&gt;"",Z122,INT($A122)))/7)))))</f>
        <v/>
      </c>
      <c r="AB122" s="14">
        <f>IF($B122="","",MAX(0,S122-AA122))</f>
        <v/>
      </c>
      <c r="AC122" s="9">
        <f>IF($B122="","",IF(T122="X","X",IF(AB122&gt;='Critérios e pesos'!$C$29,"A",IF(AB122&gt;='Critérios e pesos'!$C$30,"B","C"))))</f>
        <v/>
      </c>
      <c r="AD122" s="4" t="n"/>
      <c r="AE122" s="18" t="n"/>
      <c r="AF122" s="6" t="n"/>
      <c r="AH122">
        <f>IF($A122="","",IF(OR(WEEKDAY($A122,2)&gt;5,ROUND(MOD($A122,1)*1440,0)&gt;=ROUND('Critérios e pesos'!$C$37*1440,0)),WORKDAY(INT($A122),1)+ROUND('Critérios e pesos'!$C$36*1440,0)/1440,IF(ROUND(MOD($A122,1)*1440,0)&lt;ROUND('Critérios e pesos'!$C$36*1440,0),INT($A122)+ROUND('Critérios e pesos'!$C$36*1440,0)/1440,$A122)))</f>
        <v/>
      </c>
      <c r="AI122">
        <f>IF(AH122="","",ROUND(MOD(AH122,1)*1440,0))</f>
        <v/>
      </c>
      <c r="AJ122">
        <f>IF(T122="","",INDEX('Critérios e pesos'!$E$29:$E$32,MATCH(T122,'Critérios e pesos'!$A$29:$A$32,0)))</f>
        <v/>
      </c>
    </row>
    <row r="123">
      <c r="A123" s="13" t="n"/>
      <c r="B123" s="6" t="n"/>
      <c r="C123" s="6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6" t="n"/>
      <c r="O123" s="6" t="n"/>
      <c r="P123" s="14">
        <f>IF($B123="","",(E123="Claro")*'Critérios e pesos'!$G$5+(E123="Em parte")*'Critérios e pesos'!$G$5/2+(F123="Claro")*'Critérios e pesos'!$G$6+(F123="Em parte")*'Critérios e pesos'!$G$6/2+(G123="Claro")*'Critérios e pesos'!$G$7+(G123="Em parte")*'Critérios e pesos'!$G$7/2+(H123="Claro")*'Critérios e pesos'!$G$8+(H123="Em parte")*'Critérios e pesos'!$G$8/2)</f>
        <v/>
      </c>
      <c r="Q123" s="14">
        <f>IF($B123="","",(I123="Claro")*'Critérios e pesos'!$G$9+(I123="Em parte")*'Critérios e pesos'!$G$9/2+(J123="Claro")*'Critérios e pesos'!$G$10+(J123="Em parte")*'Critérios e pesos'!$G$10/2+(K123="Claro")*'Critérios e pesos'!$G$11+(K123="Em parte")*'Critérios e pesos'!$G$11/2+(L123="Claro")*'Critérios e pesos'!$G$12+(L123="Em parte")*'Critérios e pesos'!$G$12/2+(M123="Claro")*'Critérios e pesos'!$G$13+(M123="Em parte")*'Critérios e pesos'!$G$13/2)</f>
        <v/>
      </c>
      <c r="R123" s="14">
        <f>IF($B123="","",IFERROR(VLOOKUP(N123,'Critérios e pesos'!$B$17:$C$20,2,FALSE),0))</f>
        <v/>
      </c>
      <c r="S123" s="9">
        <f>IF($B123="","",MAX(0,P123+Q123+R123))</f>
        <v/>
      </c>
      <c r="T123" s="9">
        <f>IF($B123="","",IF(O123&lt;&gt;"","X",IF(S123&gt;='Critérios e pesos'!$C$29,"A",IF(S123&gt;='Critérios e pesos'!$C$30,"B","C"))))</f>
        <v/>
      </c>
      <c r="U123" s="14">
        <f>IF(T123="","",INDEX('Critérios e pesos'!$D$29:$D$32,MATCH(T123,'Critérios e pesos'!$A$29:$A$32,0)))</f>
        <v/>
      </c>
      <c r="V123" s="14">
        <f>IF(T123="","",INDEX('Critérios e pesos'!$F$29:$F$32,MATCH(T123,'Critérios e pesos'!$A$29:$A$32,0)))</f>
        <v/>
      </c>
      <c r="W123" s="15">
        <f>IF(OR(AH123="",AJ123=""),"",IF(AI123+AJ123*60&lt;=ROUND('Critérios e pesos'!$C$37*1440,0),INT(AH123)+(AI123+AJ123*60)/1440,WORKDAY(INT(AH123),1+INT((AI123+AJ123*60-ROUND('Critérios e pesos'!$C$37*1440,0)-1)/(ROUND('Critérios e pesos'!$C$37*1440,0)-ROUND('Critérios e pesos'!$C$36*1440,0))))+(ROUND('Critérios e pesos'!$C$36*1440,0)+AI123+AJ123*60-ROUND('Critérios e pesos'!$C$37*1440,0)-INT((AI123+AJ123*60-ROUND('Critérios e pesos'!$C$37*1440,0)-1)/(ROUND('Critérios e pesos'!$C$37*1440,0)-ROUND('Critérios e pesos'!$C$36*1440,0)))*(ROUND('Critérios e pesos'!$C$37*1440,0)-ROUND('Critérios e pesos'!$C$36*1440,0)))/1440))</f>
        <v/>
      </c>
      <c r="X123" s="16" t="n"/>
      <c r="Y123" s="14">
        <f>IF(W123="","",IF(X123="",IF(NOW()&gt;W123,"Atrasado","Em espera"),IF(X123&lt;=W123,"No prazo","Atrasado")))</f>
        <v/>
      </c>
      <c r="Z123" s="17" t="n"/>
      <c r="AA123" s="14">
        <f>IF($B123="","",IF(OR(T123="X",AD123&lt;&gt;""),0,MAX(0,MIN(Q123,'Critérios e pesos'!$C$38*INT((TODAY()-IF(Z123&lt;&gt;"",Z123,INT($A123)))/7)))))</f>
        <v/>
      </c>
      <c r="AB123" s="14">
        <f>IF($B123="","",MAX(0,S123-AA123))</f>
        <v/>
      </c>
      <c r="AC123" s="9">
        <f>IF($B123="","",IF(T123="X","X",IF(AB123&gt;='Critérios e pesos'!$C$29,"A",IF(AB123&gt;='Critérios e pesos'!$C$30,"B","C"))))</f>
        <v/>
      </c>
      <c r="AD123" s="4" t="n"/>
      <c r="AE123" s="18" t="n"/>
      <c r="AF123" s="6" t="n"/>
      <c r="AH123">
        <f>IF($A123="","",IF(OR(WEEKDAY($A123,2)&gt;5,ROUND(MOD($A123,1)*1440,0)&gt;=ROUND('Critérios e pesos'!$C$37*1440,0)),WORKDAY(INT($A123),1)+ROUND('Critérios e pesos'!$C$36*1440,0)/1440,IF(ROUND(MOD($A123,1)*1440,0)&lt;ROUND('Critérios e pesos'!$C$36*1440,0),INT($A123)+ROUND('Critérios e pesos'!$C$36*1440,0)/1440,$A123)))</f>
        <v/>
      </c>
      <c r="AI123">
        <f>IF(AH123="","",ROUND(MOD(AH123,1)*1440,0))</f>
        <v/>
      </c>
      <c r="AJ123">
        <f>IF(T123="","",INDEX('Critérios e pesos'!$E$29:$E$32,MATCH(T123,'Critérios e pesos'!$A$29:$A$32,0)))</f>
        <v/>
      </c>
    </row>
    <row r="124">
      <c r="A124" s="13" t="n"/>
      <c r="B124" s="6" t="n"/>
      <c r="C124" s="6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6" t="n"/>
      <c r="O124" s="6" t="n"/>
      <c r="P124" s="14">
        <f>IF($B124="","",(E124="Claro")*'Critérios e pesos'!$G$5+(E124="Em parte")*'Critérios e pesos'!$G$5/2+(F124="Claro")*'Critérios e pesos'!$G$6+(F124="Em parte")*'Critérios e pesos'!$G$6/2+(G124="Claro")*'Critérios e pesos'!$G$7+(G124="Em parte")*'Critérios e pesos'!$G$7/2+(H124="Claro")*'Critérios e pesos'!$G$8+(H124="Em parte")*'Critérios e pesos'!$G$8/2)</f>
        <v/>
      </c>
      <c r="Q124" s="14">
        <f>IF($B124="","",(I124="Claro")*'Critérios e pesos'!$G$9+(I124="Em parte")*'Critérios e pesos'!$G$9/2+(J124="Claro")*'Critérios e pesos'!$G$10+(J124="Em parte")*'Critérios e pesos'!$G$10/2+(K124="Claro")*'Critérios e pesos'!$G$11+(K124="Em parte")*'Critérios e pesos'!$G$11/2+(L124="Claro")*'Critérios e pesos'!$G$12+(L124="Em parte")*'Critérios e pesos'!$G$12/2+(M124="Claro")*'Critérios e pesos'!$G$13+(M124="Em parte")*'Critérios e pesos'!$G$13/2)</f>
        <v/>
      </c>
      <c r="R124" s="14">
        <f>IF($B124="","",IFERROR(VLOOKUP(N124,'Critérios e pesos'!$B$17:$C$20,2,FALSE),0))</f>
        <v/>
      </c>
      <c r="S124" s="9">
        <f>IF($B124="","",MAX(0,P124+Q124+R124))</f>
        <v/>
      </c>
      <c r="T124" s="9">
        <f>IF($B124="","",IF(O124&lt;&gt;"","X",IF(S124&gt;='Critérios e pesos'!$C$29,"A",IF(S124&gt;='Critérios e pesos'!$C$30,"B","C"))))</f>
        <v/>
      </c>
      <c r="U124" s="14">
        <f>IF(T124="","",INDEX('Critérios e pesos'!$D$29:$D$32,MATCH(T124,'Critérios e pesos'!$A$29:$A$32,0)))</f>
        <v/>
      </c>
      <c r="V124" s="14">
        <f>IF(T124="","",INDEX('Critérios e pesos'!$F$29:$F$32,MATCH(T124,'Critérios e pesos'!$A$29:$A$32,0)))</f>
        <v/>
      </c>
      <c r="W124" s="15">
        <f>IF(OR(AH124="",AJ124=""),"",IF(AI124+AJ124*60&lt;=ROUND('Critérios e pesos'!$C$37*1440,0),INT(AH124)+(AI124+AJ124*60)/1440,WORKDAY(INT(AH124),1+INT((AI124+AJ124*60-ROUND('Critérios e pesos'!$C$37*1440,0)-1)/(ROUND('Critérios e pesos'!$C$37*1440,0)-ROUND('Critérios e pesos'!$C$36*1440,0))))+(ROUND('Critérios e pesos'!$C$36*1440,0)+AI124+AJ124*60-ROUND('Critérios e pesos'!$C$37*1440,0)-INT((AI124+AJ124*60-ROUND('Critérios e pesos'!$C$37*1440,0)-1)/(ROUND('Critérios e pesos'!$C$37*1440,0)-ROUND('Critérios e pesos'!$C$36*1440,0)))*(ROUND('Critérios e pesos'!$C$37*1440,0)-ROUND('Critérios e pesos'!$C$36*1440,0)))/1440))</f>
        <v/>
      </c>
      <c r="X124" s="16" t="n"/>
      <c r="Y124" s="14">
        <f>IF(W124="","",IF(X124="",IF(NOW()&gt;W124,"Atrasado","Em espera"),IF(X124&lt;=W124,"No prazo","Atrasado")))</f>
        <v/>
      </c>
      <c r="Z124" s="17" t="n"/>
      <c r="AA124" s="14">
        <f>IF($B124="","",IF(OR(T124="X",AD124&lt;&gt;""),0,MAX(0,MIN(Q124,'Critérios e pesos'!$C$38*INT((TODAY()-IF(Z124&lt;&gt;"",Z124,INT($A124)))/7)))))</f>
        <v/>
      </c>
      <c r="AB124" s="14">
        <f>IF($B124="","",MAX(0,S124-AA124))</f>
        <v/>
      </c>
      <c r="AC124" s="9">
        <f>IF($B124="","",IF(T124="X","X",IF(AB124&gt;='Critérios e pesos'!$C$29,"A",IF(AB124&gt;='Critérios e pesos'!$C$30,"B","C"))))</f>
        <v/>
      </c>
      <c r="AD124" s="4" t="n"/>
      <c r="AE124" s="18" t="n"/>
      <c r="AF124" s="6" t="n"/>
      <c r="AH124">
        <f>IF($A124="","",IF(OR(WEEKDAY($A124,2)&gt;5,ROUND(MOD($A124,1)*1440,0)&gt;=ROUND('Critérios e pesos'!$C$37*1440,0)),WORKDAY(INT($A124),1)+ROUND('Critérios e pesos'!$C$36*1440,0)/1440,IF(ROUND(MOD($A124,1)*1440,0)&lt;ROUND('Critérios e pesos'!$C$36*1440,0),INT($A124)+ROUND('Critérios e pesos'!$C$36*1440,0)/1440,$A124)))</f>
        <v/>
      </c>
      <c r="AI124">
        <f>IF(AH124="","",ROUND(MOD(AH124,1)*1440,0))</f>
        <v/>
      </c>
      <c r="AJ124">
        <f>IF(T124="","",INDEX('Critérios e pesos'!$E$29:$E$32,MATCH(T124,'Critérios e pesos'!$A$29:$A$32,0)))</f>
        <v/>
      </c>
    </row>
    <row r="125">
      <c r="A125" s="13" t="n"/>
      <c r="B125" s="6" t="n"/>
      <c r="C125" s="6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6" t="n"/>
      <c r="O125" s="6" t="n"/>
      <c r="P125" s="14">
        <f>IF($B125="","",(E125="Claro")*'Critérios e pesos'!$G$5+(E125="Em parte")*'Critérios e pesos'!$G$5/2+(F125="Claro")*'Critérios e pesos'!$G$6+(F125="Em parte")*'Critérios e pesos'!$G$6/2+(G125="Claro")*'Critérios e pesos'!$G$7+(G125="Em parte")*'Critérios e pesos'!$G$7/2+(H125="Claro")*'Critérios e pesos'!$G$8+(H125="Em parte")*'Critérios e pesos'!$G$8/2)</f>
        <v/>
      </c>
      <c r="Q125" s="14">
        <f>IF($B125="","",(I125="Claro")*'Critérios e pesos'!$G$9+(I125="Em parte")*'Critérios e pesos'!$G$9/2+(J125="Claro")*'Critérios e pesos'!$G$10+(J125="Em parte")*'Critérios e pesos'!$G$10/2+(K125="Claro")*'Critérios e pesos'!$G$11+(K125="Em parte")*'Critérios e pesos'!$G$11/2+(L125="Claro")*'Critérios e pesos'!$G$12+(L125="Em parte")*'Critérios e pesos'!$G$12/2+(M125="Claro")*'Critérios e pesos'!$G$13+(M125="Em parte")*'Critérios e pesos'!$G$13/2)</f>
        <v/>
      </c>
      <c r="R125" s="14">
        <f>IF($B125="","",IFERROR(VLOOKUP(N125,'Critérios e pesos'!$B$17:$C$20,2,FALSE),0))</f>
        <v/>
      </c>
      <c r="S125" s="9">
        <f>IF($B125="","",MAX(0,P125+Q125+R125))</f>
        <v/>
      </c>
      <c r="T125" s="9">
        <f>IF($B125="","",IF(O125&lt;&gt;"","X",IF(S125&gt;='Critérios e pesos'!$C$29,"A",IF(S125&gt;='Critérios e pesos'!$C$30,"B","C"))))</f>
        <v/>
      </c>
      <c r="U125" s="14">
        <f>IF(T125="","",INDEX('Critérios e pesos'!$D$29:$D$32,MATCH(T125,'Critérios e pesos'!$A$29:$A$32,0)))</f>
        <v/>
      </c>
      <c r="V125" s="14">
        <f>IF(T125="","",INDEX('Critérios e pesos'!$F$29:$F$32,MATCH(T125,'Critérios e pesos'!$A$29:$A$32,0)))</f>
        <v/>
      </c>
      <c r="W125" s="15">
        <f>IF(OR(AH125="",AJ125=""),"",IF(AI125+AJ125*60&lt;=ROUND('Critérios e pesos'!$C$37*1440,0),INT(AH125)+(AI125+AJ125*60)/1440,WORKDAY(INT(AH125),1+INT((AI125+AJ125*60-ROUND('Critérios e pesos'!$C$37*1440,0)-1)/(ROUND('Critérios e pesos'!$C$37*1440,0)-ROUND('Critérios e pesos'!$C$36*1440,0))))+(ROUND('Critérios e pesos'!$C$36*1440,0)+AI125+AJ125*60-ROUND('Critérios e pesos'!$C$37*1440,0)-INT((AI125+AJ125*60-ROUND('Critérios e pesos'!$C$37*1440,0)-1)/(ROUND('Critérios e pesos'!$C$37*1440,0)-ROUND('Critérios e pesos'!$C$36*1440,0)))*(ROUND('Critérios e pesos'!$C$37*1440,0)-ROUND('Critérios e pesos'!$C$36*1440,0)))/1440))</f>
        <v/>
      </c>
      <c r="X125" s="16" t="n"/>
      <c r="Y125" s="14">
        <f>IF(W125="","",IF(X125="",IF(NOW()&gt;W125,"Atrasado","Em espera"),IF(X125&lt;=W125,"No prazo","Atrasado")))</f>
        <v/>
      </c>
      <c r="Z125" s="17" t="n"/>
      <c r="AA125" s="14">
        <f>IF($B125="","",IF(OR(T125="X",AD125&lt;&gt;""),0,MAX(0,MIN(Q125,'Critérios e pesos'!$C$38*INT((TODAY()-IF(Z125&lt;&gt;"",Z125,INT($A125)))/7)))))</f>
        <v/>
      </c>
      <c r="AB125" s="14">
        <f>IF($B125="","",MAX(0,S125-AA125))</f>
        <v/>
      </c>
      <c r="AC125" s="9">
        <f>IF($B125="","",IF(T125="X","X",IF(AB125&gt;='Critérios e pesos'!$C$29,"A",IF(AB125&gt;='Critérios e pesos'!$C$30,"B","C"))))</f>
        <v/>
      </c>
      <c r="AD125" s="4" t="n"/>
      <c r="AE125" s="18" t="n"/>
      <c r="AF125" s="6" t="n"/>
      <c r="AH125">
        <f>IF($A125="","",IF(OR(WEEKDAY($A125,2)&gt;5,ROUND(MOD($A125,1)*1440,0)&gt;=ROUND('Critérios e pesos'!$C$37*1440,0)),WORKDAY(INT($A125),1)+ROUND('Critérios e pesos'!$C$36*1440,0)/1440,IF(ROUND(MOD($A125,1)*1440,0)&lt;ROUND('Critérios e pesos'!$C$36*1440,0),INT($A125)+ROUND('Critérios e pesos'!$C$36*1440,0)/1440,$A125)))</f>
        <v/>
      </c>
      <c r="AI125">
        <f>IF(AH125="","",ROUND(MOD(AH125,1)*1440,0))</f>
        <v/>
      </c>
      <c r="AJ125">
        <f>IF(T125="","",INDEX('Critérios e pesos'!$E$29:$E$32,MATCH(T125,'Critérios e pesos'!$A$29:$A$32,0)))</f>
        <v/>
      </c>
    </row>
    <row r="126">
      <c r="A126" s="13" t="n"/>
      <c r="B126" s="6" t="n"/>
      <c r="C126" s="6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6" t="n"/>
      <c r="O126" s="6" t="n"/>
      <c r="P126" s="14">
        <f>IF($B126="","",(E126="Claro")*'Critérios e pesos'!$G$5+(E126="Em parte")*'Critérios e pesos'!$G$5/2+(F126="Claro")*'Critérios e pesos'!$G$6+(F126="Em parte")*'Critérios e pesos'!$G$6/2+(G126="Claro")*'Critérios e pesos'!$G$7+(G126="Em parte")*'Critérios e pesos'!$G$7/2+(H126="Claro")*'Critérios e pesos'!$G$8+(H126="Em parte")*'Critérios e pesos'!$G$8/2)</f>
        <v/>
      </c>
      <c r="Q126" s="14">
        <f>IF($B126="","",(I126="Claro")*'Critérios e pesos'!$G$9+(I126="Em parte")*'Critérios e pesos'!$G$9/2+(J126="Claro")*'Critérios e pesos'!$G$10+(J126="Em parte")*'Critérios e pesos'!$G$10/2+(K126="Claro")*'Critérios e pesos'!$G$11+(K126="Em parte")*'Critérios e pesos'!$G$11/2+(L126="Claro")*'Critérios e pesos'!$G$12+(L126="Em parte")*'Critérios e pesos'!$G$12/2+(M126="Claro")*'Critérios e pesos'!$G$13+(M126="Em parte")*'Critérios e pesos'!$G$13/2)</f>
        <v/>
      </c>
      <c r="R126" s="14">
        <f>IF($B126="","",IFERROR(VLOOKUP(N126,'Critérios e pesos'!$B$17:$C$20,2,FALSE),0))</f>
        <v/>
      </c>
      <c r="S126" s="9">
        <f>IF($B126="","",MAX(0,P126+Q126+R126))</f>
        <v/>
      </c>
      <c r="T126" s="9">
        <f>IF($B126="","",IF(O126&lt;&gt;"","X",IF(S126&gt;='Critérios e pesos'!$C$29,"A",IF(S126&gt;='Critérios e pesos'!$C$30,"B","C"))))</f>
        <v/>
      </c>
      <c r="U126" s="14">
        <f>IF(T126="","",INDEX('Critérios e pesos'!$D$29:$D$32,MATCH(T126,'Critérios e pesos'!$A$29:$A$32,0)))</f>
        <v/>
      </c>
      <c r="V126" s="14">
        <f>IF(T126="","",INDEX('Critérios e pesos'!$F$29:$F$32,MATCH(T126,'Critérios e pesos'!$A$29:$A$32,0)))</f>
        <v/>
      </c>
      <c r="W126" s="15">
        <f>IF(OR(AH126="",AJ126=""),"",IF(AI126+AJ126*60&lt;=ROUND('Critérios e pesos'!$C$37*1440,0),INT(AH126)+(AI126+AJ126*60)/1440,WORKDAY(INT(AH126),1+INT((AI126+AJ126*60-ROUND('Critérios e pesos'!$C$37*1440,0)-1)/(ROUND('Critérios e pesos'!$C$37*1440,0)-ROUND('Critérios e pesos'!$C$36*1440,0))))+(ROUND('Critérios e pesos'!$C$36*1440,0)+AI126+AJ126*60-ROUND('Critérios e pesos'!$C$37*1440,0)-INT((AI126+AJ126*60-ROUND('Critérios e pesos'!$C$37*1440,0)-1)/(ROUND('Critérios e pesos'!$C$37*1440,0)-ROUND('Critérios e pesos'!$C$36*1440,0)))*(ROUND('Critérios e pesos'!$C$37*1440,0)-ROUND('Critérios e pesos'!$C$36*1440,0)))/1440))</f>
        <v/>
      </c>
      <c r="X126" s="16" t="n"/>
      <c r="Y126" s="14">
        <f>IF(W126="","",IF(X126="",IF(NOW()&gt;W126,"Atrasado","Em espera"),IF(X126&lt;=W126,"No prazo","Atrasado")))</f>
        <v/>
      </c>
      <c r="Z126" s="17" t="n"/>
      <c r="AA126" s="14">
        <f>IF($B126="","",IF(OR(T126="X",AD126&lt;&gt;""),0,MAX(0,MIN(Q126,'Critérios e pesos'!$C$38*INT((TODAY()-IF(Z126&lt;&gt;"",Z126,INT($A126)))/7)))))</f>
        <v/>
      </c>
      <c r="AB126" s="14">
        <f>IF($B126="","",MAX(0,S126-AA126))</f>
        <v/>
      </c>
      <c r="AC126" s="9">
        <f>IF($B126="","",IF(T126="X","X",IF(AB126&gt;='Critérios e pesos'!$C$29,"A",IF(AB126&gt;='Critérios e pesos'!$C$30,"B","C"))))</f>
        <v/>
      </c>
      <c r="AD126" s="4" t="n"/>
      <c r="AE126" s="18" t="n"/>
      <c r="AF126" s="6" t="n"/>
      <c r="AH126">
        <f>IF($A126="","",IF(OR(WEEKDAY($A126,2)&gt;5,ROUND(MOD($A126,1)*1440,0)&gt;=ROUND('Critérios e pesos'!$C$37*1440,0)),WORKDAY(INT($A126),1)+ROUND('Critérios e pesos'!$C$36*1440,0)/1440,IF(ROUND(MOD($A126,1)*1440,0)&lt;ROUND('Critérios e pesos'!$C$36*1440,0),INT($A126)+ROUND('Critérios e pesos'!$C$36*1440,0)/1440,$A126)))</f>
        <v/>
      </c>
      <c r="AI126">
        <f>IF(AH126="","",ROUND(MOD(AH126,1)*1440,0))</f>
        <v/>
      </c>
      <c r="AJ126">
        <f>IF(T126="","",INDEX('Critérios e pesos'!$E$29:$E$32,MATCH(T126,'Critérios e pesos'!$A$29:$A$32,0)))</f>
        <v/>
      </c>
    </row>
    <row r="127">
      <c r="A127" s="13" t="n"/>
      <c r="B127" s="6" t="n"/>
      <c r="C127" s="6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6" t="n"/>
      <c r="O127" s="6" t="n"/>
      <c r="P127" s="14">
        <f>IF($B127="","",(E127="Claro")*'Critérios e pesos'!$G$5+(E127="Em parte")*'Critérios e pesos'!$G$5/2+(F127="Claro")*'Critérios e pesos'!$G$6+(F127="Em parte")*'Critérios e pesos'!$G$6/2+(G127="Claro")*'Critérios e pesos'!$G$7+(G127="Em parte")*'Critérios e pesos'!$G$7/2+(H127="Claro")*'Critérios e pesos'!$G$8+(H127="Em parte")*'Critérios e pesos'!$G$8/2)</f>
        <v/>
      </c>
      <c r="Q127" s="14">
        <f>IF($B127="","",(I127="Claro")*'Critérios e pesos'!$G$9+(I127="Em parte")*'Critérios e pesos'!$G$9/2+(J127="Claro")*'Critérios e pesos'!$G$10+(J127="Em parte")*'Critérios e pesos'!$G$10/2+(K127="Claro")*'Critérios e pesos'!$G$11+(K127="Em parte")*'Critérios e pesos'!$G$11/2+(L127="Claro")*'Critérios e pesos'!$G$12+(L127="Em parte")*'Critérios e pesos'!$G$12/2+(M127="Claro")*'Critérios e pesos'!$G$13+(M127="Em parte")*'Critérios e pesos'!$G$13/2)</f>
        <v/>
      </c>
      <c r="R127" s="14">
        <f>IF($B127="","",IFERROR(VLOOKUP(N127,'Critérios e pesos'!$B$17:$C$20,2,FALSE),0))</f>
        <v/>
      </c>
      <c r="S127" s="9">
        <f>IF($B127="","",MAX(0,P127+Q127+R127))</f>
        <v/>
      </c>
      <c r="T127" s="9">
        <f>IF($B127="","",IF(O127&lt;&gt;"","X",IF(S127&gt;='Critérios e pesos'!$C$29,"A",IF(S127&gt;='Critérios e pesos'!$C$30,"B","C"))))</f>
        <v/>
      </c>
      <c r="U127" s="14">
        <f>IF(T127="","",INDEX('Critérios e pesos'!$D$29:$D$32,MATCH(T127,'Critérios e pesos'!$A$29:$A$32,0)))</f>
        <v/>
      </c>
      <c r="V127" s="14">
        <f>IF(T127="","",INDEX('Critérios e pesos'!$F$29:$F$32,MATCH(T127,'Critérios e pesos'!$A$29:$A$32,0)))</f>
        <v/>
      </c>
      <c r="W127" s="15">
        <f>IF(OR(AH127="",AJ127=""),"",IF(AI127+AJ127*60&lt;=ROUND('Critérios e pesos'!$C$37*1440,0),INT(AH127)+(AI127+AJ127*60)/1440,WORKDAY(INT(AH127),1+INT((AI127+AJ127*60-ROUND('Critérios e pesos'!$C$37*1440,0)-1)/(ROUND('Critérios e pesos'!$C$37*1440,0)-ROUND('Critérios e pesos'!$C$36*1440,0))))+(ROUND('Critérios e pesos'!$C$36*1440,0)+AI127+AJ127*60-ROUND('Critérios e pesos'!$C$37*1440,0)-INT((AI127+AJ127*60-ROUND('Critérios e pesos'!$C$37*1440,0)-1)/(ROUND('Critérios e pesos'!$C$37*1440,0)-ROUND('Critérios e pesos'!$C$36*1440,0)))*(ROUND('Critérios e pesos'!$C$37*1440,0)-ROUND('Critérios e pesos'!$C$36*1440,0)))/1440))</f>
        <v/>
      </c>
      <c r="X127" s="16" t="n"/>
      <c r="Y127" s="14">
        <f>IF(W127="","",IF(X127="",IF(NOW()&gt;W127,"Atrasado","Em espera"),IF(X127&lt;=W127,"No prazo","Atrasado")))</f>
        <v/>
      </c>
      <c r="Z127" s="17" t="n"/>
      <c r="AA127" s="14">
        <f>IF($B127="","",IF(OR(T127="X",AD127&lt;&gt;""),0,MAX(0,MIN(Q127,'Critérios e pesos'!$C$38*INT((TODAY()-IF(Z127&lt;&gt;"",Z127,INT($A127)))/7)))))</f>
        <v/>
      </c>
      <c r="AB127" s="14">
        <f>IF($B127="","",MAX(0,S127-AA127))</f>
        <v/>
      </c>
      <c r="AC127" s="9">
        <f>IF($B127="","",IF(T127="X","X",IF(AB127&gt;='Critérios e pesos'!$C$29,"A",IF(AB127&gt;='Critérios e pesos'!$C$30,"B","C"))))</f>
        <v/>
      </c>
      <c r="AD127" s="4" t="n"/>
      <c r="AE127" s="18" t="n"/>
      <c r="AF127" s="6" t="n"/>
      <c r="AH127">
        <f>IF($A127="","",IF(OR(WEEKDAY($A127,2)&gt;5,ROUND(MOD($A127,1)*1440,0)&gt;=ROUND('Critérios e pesos'!$C$37*1440,0)),WORKDAY(INT($A127),1)+ROUND('Critérios e pesos'!$C$36*1440,0)/1440,IF(ROUND(MOD($A127,1)*1440,0)&lt;ROUND('Critérios e pesos'!$C$36*1440,0),INT($A127)+ROUND('Critérios e pesos'!$C$36*1440,0)/1440,$A127)))</f>
        <v/>
      </c>
      <c r="AI127">
        <f>IF(AH127="","",ROUND(MOD(AH127,1)*1440,0))</f>
        <v/>
      </c>
      <c r="AJ127">
        <f>IF(T127="","",INDEX('Critérios e pesos'!$E$29:$E$32,MATCH(T127,'Critérios e pesos'!$A$29:$A$32,0)))</f>
        <v/>
      </c>
    </row>
    <row r="128">
      <c r="A128" s="13" t="n"/>
      <c r="B128" s="6" t="n"/>
      <c r="C128" s="6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6" t="n"/>
      <c r="O128" s="6" t="n"/>
      <c r="P128" s="14">
        <f>IF($B128="","",(E128="Claro")*'Critérios e pesos'!$G$5+(E128="Em parte")*'Critérios e pesos'!$G$5/2+(F128="Claro")*'Critérios e pesos'!$G$6+(F128="Em parte")*'Critérios e pesos'!$G$6/2+(G128="Claro")*'Critérios e pesos'!$G$7+(G128="Em parte")*'Critérios e pesos'!$G$7/2+(H128="Claro")*'Critérios e pesos'!$G$8+(H128="Em parte")*'Critérios e pesos'!$G$8/2)</f>
        <v/>
      </c>
      <c r="Q128" s="14">
        <f>IF($B128="","",(I128="Claro")*'Critérios e pesos'!$G$9+(I128="Em parte")*'Critérios e pesos'!$G$9/2+(J128="Claro")*'Critérios e pesos'!$G$10+(J128="Em parte")*'Critérios e pesos'!$G$10/2+(K128="Claro")*'Critérios e pesos'!$G$11+(K128="Em parte")*'Critérios e pesos'!$G$11/2+(L128="Claro")*'Critérios e pesos'!$G$12+(L128="Em parte")*'Critérios e pesos'!$G$12/2+(M128="Claro")*'Critérios e pesos'!$G$13+(M128="Em parte")*'Critérios e pesos'!$G$13/2)</f>
        <v/>
      </c>
      <c r="R128" s="14">
        <f>IF($B128="","",IFERROR(VLOOKUP(N128,'Critérios e pesos'!$B$17:$C$20,2,FALSE),0))</f>
        <v/>
      </c>
      <c r="S128" s="9">
        <f>IF($B128="","",MAX(0,P128+Q128+R128))</f>
        <v/>
      </c>
      <c r="T128" s="9">
        <f>IF($B128="","",IF(O128&lt;&gt;"","X",IF(S128&gt;='Critérios e pesos'!$C$29,"A",IF(S128&gt;='Critérios e pesos'!$C$30,"B","C"))))</f>
        <v/>
      </c>
      <c r="U128" s="14">
        <f>IF(T128="","",INDEX('Critérios e pesos'!$D$29:$D$32,MATCH(T128,'Critérios e pesos'!$A$29:$A$32,0)))</f>
        <v/>
      </c>
      <c r="V128" s="14">
        <f>IF(T128="","",INDEX('Critérios e pesos'!$F$29:$F$32,MATCH(T128,'Critérios e pesos'!$A$29:$A$32,0)))</f>
        <v/>
      </c>
      <c r="W128" s="15">
        <f>IF(OR(AH128="",AJ128=""),"",IF(AI128+AJ128*60&lt;=ROUND('Critérios e pesos'!$C$37*1440,0),INT(AH128)+(AI128+AJ128*60)/1440,WORKDAY(INT(AH128),1+INT((AI128+AJ128*60-ROUND('Critérios e pesos'!$C$37*1440,0)-1)/(ROUND('Critérios e pesos'!$C$37*1440,0)-ROUND('Critérios e pesos'!$C$36*1440,0))))+(ROUND('Critérios e pesos'!$C$36*1440,0)+AI128+AJ128*60-ROUND('Critérios e pesos'!$C$37*1440,0)-INT((AI128+AJ128*60-ROUND('Critérios e pesos'!$C$37*1440,0)-1)/(ROUND('Critérios e pesos'!$C$37*1440,0)-ROUND('Critérios e pesos'!$C$36*1440,0)))*(ROUND('Critérios e pesos'!$C$37*1440,0)-ROUND('Critérios e pesos'!$C$36*1440,0)))/1440))</f>
        <v/>
      </c>
      <c r="X128" s="16" t="n"/>
      <c r="Y128" s="14">
        <f>IF(W128="","",IF(X128="",IF(NOW()&gt;W128,"Atrasado","Em espera"),IF(X128&lt;=W128,"No prazo","Atrasado")))</f>
        <v/>
      </c>
      <c r="Z128" s="17" t="n"/>
      <c r="AA128" s="14">
        <f>IF($B128="","",IF(OR(T128="X",AD128&lt;&gt;""),0,MAX(0,MIN(Q128,'Critérios e pesos'!$C$38*INT((TODAY()-IF(Z128&lt;&gt;"",Z128,INT($A128)))/7)))))</f>
        <v/>
      </c>
      <c r="AB128" s="14">
        <f>IF($B128="","",MAX(0,S128-AA128))</f>
        <v/>
      </c>
      <c r="AC128" s="9">
        <f>IF($B128="","",IF(T128="X","X",IF(AB128&gt;='Critérios e pesos'!$C$29,"A",IF(AB128&gt;='Critérios e pesos'!$C$30,"B","C"))))</f>
        <v/>
      </c>
      <c r="AD128" s="4" t="n"/>
      <c r="AE128" s="18" t="n"/>
      <c r="AF128" s="6" t="n"/>
      <c r="AH128">
        <f>IF($A128="","",IF(OR(WEEKDAY($A128,2)&gt;5,ROUND(MOD($A128,1)*1440,0)&gt;=ROUND('Critérios e pesos'!$C$37*1440,0)),WORKDAY(INT($A128),1)+ROUND('Critérios e pesos'!$C$36*1440,0)/1440,IF(ROUND(MOD($A128,1)*1440,0)&lt;ROUND('Critérios e pesos'!$C$36*1440,0),INT($A128)+ROUND('Critérios e pesos'!$C$36*1440,0)/1440,$A128)))</f>
        <v/>
      </c>
      <c r="AI128">
        <f>IF(AH128="","",ROUND(MOD(AH128,1)*1440,0))</f>
        <v/>
      </c>
      <c r="AJ128">
        <f>IF(T128="","",INDEX('Critérios e pesos'!$E$29:$E$32,MATCH(T128,'Critérios e pesos'!$A$29:$A$32,0)))</f>
        <v/>
      </c>
    </row>
    <row r="129">
      <c r="A129" s="13" t="n"/>
      <c r="B129" s="6" t="n"/>
      <c r="C129" s="6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6" t="n"/>
      <c r="O129" s="6" t="n"/>
      <c r="P129" s="14">
        <f>IF($B129="","",(E129="Claro")*'Critérios e pesos'!$G$5+(E129="Em parte")*'Critérios e pesos'!$G$5/2+(F129="Claro")*'Critérios e pesos'!$G$6+(F129="Em parte")*'Critérios e pesos'!$G$6/2+(G129="Claro")*'Critérios e pesos'!$G$7+(G129="Em parte")*'Critérios e pesos'!$G$7/2+(H129="Claro")*'Critérios e pesos'!$G$8+(H129="Em parte")*'Critérios e pesos'!$G$8/2)</f>
        <v/>
      </c>
      <c r="Q129" s="14">
        <f>IF($B129="","",(I129="Claro")*'Critérios e pesos'!$G$9+(I129="Em parte")*'Critérios e pesos'!$G$9/2+(J129="Claro")*'Critérios e pesos'!$G$10+(J129="Em parte")*'Critérios e pesos'!$G$10/2+(K129="Claro")*'Critérios e pesos'!$G$11+(K129="Em parte")*'Critérios e pesos'!$G$11/2+(L129="Claro")*'Critérios e pesos'!$G$12+(L129="Em parte")*'Critérios e pesos'!$G$12/2+(M129="Claro")*'Critérios e pesos'!$G$13+(M129="Em parte")*'Critérios e pesos'!$G$13/2)</f>
        <v/>
      </c>
      <c r="R129" s="14">
        <f>IF($B129="","",IFERROR(VLOOKUP(N129,'Critérios e pesos'!$B$17:$C$20,2,FALSE),0))</f>
        <v/>
      </c>
      <c r="S129" s="9">
        <f>IF($B129="","",MAX(0,P129+Q129+R129))</f>
        <v/>
      </c>
      <c r="T129" s="9">
        <f>IF($B129="","",IF(O129&lt;&gt;"","X",IF(S129&gt;='Critérios e pesos'!$C$29,"A",IF(S129&gt;='Critérios e pesos'!$C$30,"B","C"))))</f>
        <v/>
      </c>
      <c r="U129" s="14">
        <f>IF(T129="","",INDEX('Critérios e pesos'!$D$29:$D$32,MATCH(T129,'Critérios e pesos'!$A$29:$A$32,0)))</f>
        <v/>
      </c>
      <c r="V129" s="14">
        <f>IF(T129="","",INDEX('Critérios e pesos'!$F$29:$F$32,MATCH(T129,'Critérios e pesos'!$A$29:$A$32,0)))</f>
        <v/>
      </c>
      <c r="W129" s="15">
        <f>IF(OR(AH129="",AJ129=""),"",IF(AI129+AJ129*60&lt;=ROUND('Critérios e pesos'!$C$37*1440,0),INT(AH129)+(AI129+AJ129*60)/1440,WORKDAY(INT(AH129),1+INT((AI129+AJ129*60-ROUND('Critérios e pesos'!$C$37*1440,0)-1)/(ROUND('Critérios e pesos'!$C$37*1440,0)-ROUND('Critérios e pesos'!$C$36*1440,0))))+(ROUND('Critérios e pesos'!$C$36*1440,0)+AI129+AJ129*60-ROUND('Critérios e pesos'!$C$37*1440,0)-INT((AI129+AJ129*60-ROUND('Critérios e pesos'!$C$37*1440,0)-1)/(ROUND('Critérios e pesos'!$C$37*1440,0)-ROUND('Critérios e pesos'!$C$36*1440,0)))*(ROUND('Critérios e pesos'!$C$37*1440,0)-ROUND('Critérios e pesos'!$C$36*1440,0)))/1440))</f>
        <v/>
      </c>
      <c r="X129" s="16" t="n"/>
      <c r="Y129" s="14">
        <f>IF(W129="","",IF(X129="",IF(NOW()&gt;W129,"Atrasado","Em espera"),IF(X129&lt;=W129,"No prazo","Atrasado")))</f>
        <v/>
      </c>
      <c r="Z129" s="17" t="n"/>
      <c r="AA129" s="14">
        <f>IF($B129="","",IF(OR(T129="X",AD129&lt;&gt;""),0,MAX(0,MIN(Q129,'Critérios e pesos'!$C$38*INT((TODAY()-IF(Z129&lt;&gt;"",Z129,INT($A129)))/7)))))</f>
        <v/>
      </c>
      <c r="AB129" s="14">
        <f>IF($B129="","",MAX(0,S129-AA129))</f>
        <v/>
      </c>
      <c r="AC129" s="9">
        <f>IF($B129="","",IF(T129="X","X",IF(AB129&gt;='Critérios e pesos'!$C$29,"A",IF(AB129&gt;='Critérios e pesos'!$C$30,"B","C"))))</f>
        <v/>
      </c>
      <c r="AD129" s="4" t="n"/>
      <c r="AE129" s="18" t="n"/>
      <c r="AF129" s="6" t="n"/>
      <c r="AH129">
        <f>IF($A129="","",IF(OR(WEEKDAY($A129,2)&gt;5,ROUND(MOD($A129,1)*1440,0)&gt;=ROUND('Critérios e pesos'!$C$37*1440,0)),WORKDAY(INT($A129),1)+ROUND('Critérios e pesos'!$C$36*1440,0)/1440,IF(ROUND(MOD($A129,1)*1440,0)&lt;ROUND('Critérios e pesos'!$C$36*1440,0),INT($A129)+ROUND('Critérios e pesos'!$C$36*1440,0)/1440,$A129)))</f>
        <v/>
      </c>
      <c r="AI129">
        <f>IF(AH129="","",ROUND(MOD(AH129,1)*1440,0))</f>
        <v/>
      </c>
      <c r="AJ129">
        <f>IF(T129="","",INDEX('Critérios e pesos'!$E$29:$E$32,MATCH(T129,'Critérios e pesos'!$A$29:$A$32,0)))</f>
        <v/>
      </c>
    </row>
    <row r="130">
      <c r="A130" s="13" t="n"/>
      <c r="B130" s="6" t="n"/>
      <c r="C130" s="6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6" t="n"/>
      <c r="O130" s="6" t="n"/>
      <c r="P130" s="14">
        <f>IF($B130="","",(E130="Claro")*'Critérios e pesos'!$G$5+(E130="Em parte")*'Critérios e pesos'!$G$5/2+(F130="Claro")*'Critérios e pesos'!$G$6+(F130="Em parte")*'Critérios e pesos'!$G$6/2+(G130="Claro")*'Critérios e pesos'!$G$7+(G130="Em parte")*'Critérios e pesos'!$G$7/2+(H130="Claro")*'Critérios e pesos'!$G$8+(H130="Em parte")*'Critérios e pesos'!$G$8/2)</f>
        <v/>
      </c>
      <c r="Q130" s="14">
        <f>IF($B130="","",(I130="Claro")*'Critérios e pesos'!$G$9+(I130="Em parte")*'Critérios e pesos'!$G$9/2+(J130="Claro")*'Critérios e pesos'!$G$10+(J130="Em parte")*'Critérios e pesos'!$G$10/2+(K130="Claro")*'Critérios e pesos'!$G$11+(K130="Em parte")*'Critérios e pesos'!$G$11/2+(L130="Claro")*'Critérios e pesos'!$G$12+(L130="Em parte")*'Critérios e pesos'!$G$12/2+(M130="Claro")*'Critérios e pesos'!$G$13+(M130="Em parte")*'Critérios e pesos'!$G$13/2)</f>
        <v/>
      </c>
      <c r="R130" s="14">
        <f>IF($B130="","",IFERROR(VLOOKUP(N130,'Critérios e pesos'!$B$17:$C$20,2,FALSE),0))</f>
        <v/>
      </c>
      <c r="S130" s="9">
        <f>IF($B130="","",MAX(0,P130+Q130+R130))</f>
        <v/>
      </c>
      <c r="T130" s="9">
        <f>IF($B130="","",IF(O130&lt;&gt;"","X",IF(S130&gt;='Critérios e pesos'!$C$29,"A",IF(S130&gt;='Critérios e pesos'!$C$30,"B","C"))))</f>
        <v/>
      </c>
      <c r="U130" s="14">
        <f>IF(T130="","",INDEX('Critérios e pesos'!$D$29:$D$32,MATCH(T130,'Critérios e pesos'!$A$29:$A$32,0)))</f>
        <v/>
      </c>
      <c r="V130" s="14">
        <f>IF(T130="","",INDEX('Critérios e pesos'!$F$29:$F$32,MATCH(T130,'Critérios e pesos'!$A$29:$A$32,0)))</f>
        <v/>
      </c>
      <c r="W130" s="15">
        <f>IF(OR(AH130="",AJ130=""),"",IF(AI130+AJ130*60&lt;=ROUND('Critérios e pesos'!$C$37*1440,0),INT(AH130)+(AI130+AJ130*60)/1440,WORKDAY(INT(AH130),1+INT((AI130+AJ130*60-ROUND('Critérios e pesos'!$C$37*1440,0)-1)/(ROUND('Critérios e pesos'!$C$37*1440,0)-ROUND('Critérios e pesos'!$C$36*1440,0))))+(ROUND('Critérios e pesos'!$C$36*1440,0)+AI130+AJ130*60-ROUND('Critérios e pesos'!$C$37*1440,0)-INT((AI130+AJ130*60-ROUND('Critérios e pesos'!$C$37*1440,0)-1)/(ROUND('Critérios e pesos'!$C$37*1440,0)-ROUND('Critérios e pesos'!$C$36*1440,0)))*(ROUND('Critérios e pesos'!$C$37*1440,0)-ROUND('Critérios e pesos'!$C$36*1440,0)))/1440))</f>
        <v/>
      </c>
      <c r="X130" s="16" t="n"/>
      <c r="Y130" s="14">
        <f>IF(W130="","",IF(X130="",IF(NOW()&gt;W130,"Atrasado","Em espera"),IF(X130&lt;=W130,"No prazo","Atrasado")))</f>
        <v/>
      </c>
      <c r="Z130" s="17" t="n"/>
      <c r="AA130" s="14">
        <f>IF($B130="","",IF(OR(T130="X",AD130&lt;&gt;""),0,MAX(0,MIN(Q130,'Critérios e pesos'!$C$38*INT((TODAY()-IF(Z130&lt;&gt;"",Z130,INT($A130)))/7)))))</f>
        <v/>
      </c>
      <c r="AB130" s="14">
        <f>IF($B130="","",MAX(0,S130-AA130))</f>
        <v/>
      </c>
      <c r="AC130" s="9">
        <f>IF($B130="","",IF(T130="X","X",IF(AB130&gt;='Critérios e pesos'!$C$29,"A",IF(AB130&gt;='Critérios e pesos'!$C$30,"B","C"))))</f>
        <v/>
      </c>
      <c r="AD130" s="4" t="n"/>
      <c r="AE130" s="18" t="n"/>
      <c r="AF130" s="6" t="n"/>
      <c r="AH130">
        <f>IF($A130="","",IF(OR(WEEKDAY($A130,2)&gt;5,ROUND(MOD($A130,1)*1440,0)&gt;=ROUND('Critérios e pesos'!$C$37*1440,0)),WORKDAY(INT($A130),1)+ROUND('Critérios e pesos'!$C$36*1440,0)/1440,IF(ROUND(MOD($A130,1)*1440,0)&lt;ROUND('Critérios e pesos'!$C$36*1440,0),INT($A130)+ROUND('Critérios e pesos'!$C$36*1440,0)/1440,$A130)))</f>
        <v/>
      </c>
      <c r="AI130">
        <f>IF(AH130="","",ROUND(MOD(AH130,1)*1440,0))</f>
        <v/>
      </c>
      <c r="AJ130">
        <f>IF(T130="","",INDEX('Critérios e pesos'!$E$29:$E$32,MATCH(T130,'Critérios e pesos'!$A$29:$A$32,0)))</f>
        <v/>
      </c>
    </row>
    <row r="131">
      <c r="A131" s="13" t="n"/>
      <c r="B131" s="6" t="n"/>
      <c r="C131" s="6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6" t="n"/>
      <c r="O131" s="6" t="n"/>
      <c r="P131" s="14">
        <f>IF($B131="","",(E131="Claro")*'Critérios e pesos'!$G$5+(E131="Em parte")*'Critérios e pesos'!$G$5/2+(F131="Claro")*'Critérios e pesos'!$G$6+(F131="Em parte")*'Critérios e pesos'!$G$6/2+(G131="Claro")*'Critérios e pesos'!$G$7+(G131="Em parte")*'Critérios e pesos'!$G$7/2+(H131="Claro")*'Critérios e pesos'!$G$8+(H131="Em parte")*'Critérios e pesos'!$G$8/2)</f>
        <v/>
      </c>
      <c r="Q131" s="14">
        <f>IF($B131="","",(I131="Claro")*'Critérios e pesos'!$G$9+(I131="Em parte")*'Critérios e pesos'!$G$9/2+(J131="Claro")*'Critérios e pesos'!$G$10+(J131="Em parte")*'Critérios e pesos'!$G$10/2+(K131="Claro")*'Critérios e pesos'!$G$11+(K131="Em parte")*'Critérios e pesos'!$G$11/2+(L131="Claro")*'Critérios e pesos'!$G$12+(L131="Em parte")*'Critérios e pesos'!$G$12/2+(M131="Claro")*'Critérios e pesos'!$G$13+(M131="Em parte")*'Critérios e pesos'!$G$13/2)</f>
        <v/>
      </c>
      <c r="R131" s="14">
        <f>IF($B131="","",IFERROR(VLOOKUP(N131,'Critérios e pesos'!$B$17:$C$20,2,FALSE),0))</f>
        <v/>
      </c>
      <c r="S131" s="9">
        <f>IF($B131="","",MAX(0,P131+Q131+R131))</f>
        <v/>
      </c>
      <c r="T131" s="9">
        <f>IF($B131="","",IF(O131&lt;&gt;"","X",IF(S131&gt;='Critérios e pesos'!$C$29,"A",IF(S131&gt;='Critérios e pesos'!$C$30,"B","C"))))</f>
        <v/>
      </c>
      <c r="U131" s="14">
        <f>IF(T131="","",INDEX('Critérios e pesos'!$D$29:$D$32,MATCH(T131,'Critérios e pesos'!$A$29:$A$32,0)))</f>
        <v/>
      </c>
      <c r="V131" s="14">
        <f>IF(T131="","",INDEX('Critérios e pesos'!$F$29:$F$32,MATCH(T131,'Critérios e pesos'!$A$29:$A$32,0)))</f>
        <v/>
      </c>
      <c r="W131" s="15">
        <f>IF(OR(AH131="",AJ131=""),"",IF(AI131+AJ131*60&lt;=ROUND('Critérios e pesos'!$C$37*1440,0),INT(AH131)+(AI131+AJ131*60)/1440,WORKDAY(INT(AH131),1+INT((AI131+AJ131*60-ROUND('Critérios e pesos'!$C$37*1440,0)-1)/(ROUND('Critérios e pesos'!$C$37*1440,0)-ROUND('Critérios e pesos'!$C$36*1440,0))))+(ROUND('Critérios e pesos'!$C$36*1440,0)+AI131+AJ131*60-ROUND('Critérios e pesos'!$C$37*1440,0)-INT((AI131+AJ131*60-ROUND('Critérios e pesos'!$C$37*1440,0)-1)/(ROUND('Critérios e pesos'!$C$37*1440,0)-ROUND('Critérios e pesos'!$C$36*1440,0)))*(ROUND('Critérios e pesos'!$C$37*1440,0)-ROUND('Critérios e pesos'!$C$36*1440,0)))/1440))</f>
        <v/>
      </c>
      <c r="X131" s="16" t="n"/>
      <c r="Y131" s="14">
        <f>IF(W131="","",IF(X131="",IF(NOW()&gt;W131,"Atrasado","Em espera"),IF(X131&lt;=W131,"No prazo","Atrasado")))</f>
        <v/>
      </c>
      <c r="Z131" s="17" t="n"/>
      <c r="AA131" s="14">
        <f>IF($B131="","",IF(OR(T131="X",AD131&lt;&gt;""),0,MAX(0,MIN(Q131,'Critérios e pesos'!$C$38*INT((TODAY()-IF(Z131&lt;&gt;"",Z131,INT($A131)))/7)))))</f>
        <v/>
      </c>
      <c r="AB131" s="14">
        <f>IF($B131="","",MAX(0,S131-AA131))</f>
        <v/>
      </c>
      <c r="AC131" s="9">
        <f>IF($B131="","",IF(T131="X","X",IF(AB131&gt;='Critérios e pesos'!$C$29,"A",IF(AB131&gt;='Critérios e pesos'!$C$30,"B","C"))))</f>
        <v/>
      </c>
      <c r="AD131" s="4" t="n"/>
      <c r="AE131" s="18" t="n"/>
      <c r="AF131" s="6" t="n"/>
      <c r="AH131">
        <f>IF($A131="","",IF(OR(WEEKDAY($A131,2)&gt;5,ROUND(MOD($A131,1)*1440,0)&gt;=ROUND('Critérios e pesos'!$C$37*1440,0)),WORKDAY(INT($A131),1)+ROUND('Critérios e pesos'!$C$36*1440,0)/1440,IF(ROUND(MOD($A131,1)*1440,0)&lt;ROUND('Critérios e pesos'!$C$36*1440,0),INT($A131)+ROUND('Critérios e pesos'!$C$36*1440,0)/1440,$A131)))</f>
        <v/>
      </c>
      <c r="AI131">
        <f>IF(AH131="","",ROUND(MOD(AH131,1)*1440,0))</f>
        <v/>
      </c>
      <c r="AJ131">
        <f>IF(T131="","",INDEX('Critérios e pesos'!$E$29:$E$32,MATCH(T131,'Critérios e pesos'!$A$29:$A$32,0)))</f>
        <v/>
      </c>
    </row>
    <row r="132">
      <c r="A132" s="13" t="n"/>
      <c r="B132" s="6" t="n"/>
      <c r="C132" s="6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6" t="n"/>
      <c r="O132" s="6" t="n"/>
      <c r="P132" s="14">
        <f>IF($B132="","",(E132="Claro")*'Critérios e pesos'!$G$5+(E132="Em parte")*'Critérios e pesos'!$G$5/2+(F132="Claro")*'Critérios e pesos'!$G$6+(F132="Em parte")*'Critérios e pesos'!$G$6/2+(G132="Claro")*'Critérios e pesos'!$G$7+(G132="Em parte")*'Critérios e pesos'!$G$7/2+(H132="Claro")*'Critérios e pesos'!$G$8+(H132="Em parte")*'Critérios e pesos'!$G$8/2)</f>
        <v/>
      </c>
      <c r="Q132" s="14">
        <f>IF($B132="","",(I132="Claro")*'Critérios e pesos'!$G$9+(I132="Em parte")*'Critérios e pesos'!$G$9/2+(J132="Claro")*'Critérios e pesos'!$G$10+(J132="Em parte")*'Critérios e pesos'!$G$10/2+(K132="Claro")*'Critérios e pesos'!$G$11+(K132="Em parte")*'Critérios e pesos'!$G$11/2+(L132="Claro")*'Critérios e pesos'!$G$12+(L132="Em parte")*'Critérios e pesos'!$G$12/2+(M132="Claro")*'Critérios e pesos'!$G$13+(M132="Em parte")*'Critérios e pesos'!$G$13/2)</f>
        <v/>
      </c>
      <c r="R132" s="14">
        <f>IF($B132="","",IFERROR(VLOOKUP(N132,'Critérios e pesos'!$B$17:$C$20,2,FALSE),0))</f>
        <v/>
      </c>
      <c r="S132" s="9">
        <f>IF($B132="","",MAX(0,P132+Q132+R132))</f>
        <v/>
      </c>
      <c r="T132" s="9">
        <f>IF($B132="","",IF(O132&lt;&gt;"","X",IF(S132&gt;='Critérios e pesos'!$C$29,"A",IF(S132&gt;='Critérios e pesos'!$C$30,"B","C"))))</f>
        <v/>
      </c>
      <c r="U132" s="14">
        <f>IF(T132="","",INDEX('Critérios e pesos'!$D$29:$D$32,MATCH(T132,'Critérios e pesos'!$A$29:$A$32,0)))</f>
        <v/>
      </c>
      <c r="V132" s="14">
        <f>IF(T132="","",INDEX('Critérios e pesos'!$F$29:$F$32,MATCH(T132,'Critérios e pesos'!$A$29:$A$32,0)))</f>
        <v/>
      </c>
      <c r="W132" s="15">
        <f>IF(OR(AH132="",AJ132=""),"",IF(AI132+AJ132*60&lt;=ROUND('Critérios e pesos'!$C$37*1440,0),INT(AH132)+(AI132+AJ132*60)/1440,WORKDAY(INT(AH132),1+INT((AI132+AJ132*60-ROUND('Critérios e pesos'!$C$37*1440,0)-1)/(ROUND('Critérios e pesos'!$C$37*1440,0)-ROUND('Critérios e pesos'!$C$36*1440,0))))+(ROUND('Critérios e pesos'!$C$36*1440,0)+AI132+AJ132*60-ROUND('Critérios e pesos'!$C$37*1440,0)-INT((AI132+AJ132*60-ROUND('Critérios e pesos'!$C$37*1440,0)-1)/(ROUND('Critérios e pesos'!$C$37*1440,0)-ROUND('Critérios e pesos'!$C$36*1440,0)))*(ROUND('Critérios e pesos'!$C$37*1440,0)-ROUND('Critérios e pesos'!$C$36*1440,0)))/1440))</f>
        <v/>
      </c>
      <c r="X132" s="16" t="n"/>
      <c r="Y132" s="14">
        <f>IF(W132="","",IF(X132="",IF(NOW()&gt;W132,"Atrasado","Em espera"),IF(X132&lt;=W132,"No prazo","Atrasado")))</f>
        <v/>
      </c>
      <c r="Z132" s="17" t="n"/>
      <c r="AA132" s="14">
        <f>IF($B132="","",IF(OR(T132="X",AD132&lt;&gt;""),0,MAX(0,MIN(Q132,'Critérios e pesos'!$C$38*INT((TODAY()-IF(Z132&lt;&gt;"",Z132,INT($A132)))/7)))))</f>
        <v/>
      </c>
      <c r="AB132" s="14">
        <f>IF($B132="","",MAX(0,S132-AA132))</f>
        <v/>
      </c>
      <c r="AC132" s="9">
        <f>IF($B132="","",IF(T132="X","X",IF(AB132&gt;='Critérios e pesos'!$C$29,"A",IF(AB132&gt;='Critérios e pesos'!$C$30,"B","C"))))</f>
        <v/>
      </c>
      <c r="AD132" s="4" t="n"/>
      <c r="AE132" s="18" t="n"/>
      <c r="AF132" s="6" t="n"/>
      <c r="AH132">
        <f>IF($A132="","",IF(OR(WEEKDAY($A132,2)&gt;5,ROUND(MOD($A132,1)*1440,0)&gt;=ROUND('Critérios e pesos'!$C$37*1440,0)),WORKDAY(INT($A132),1)+ROUND('Critérios e pesos'!$C$36*1440,0)/1440,IF(ROUND(MOD($A132,1)*1440,0)&lt;ROUND('Critérios e pesos'!$C$36*1440,0),INT($A132)+ROUND('Critérios e pesos'!$C$36*1440,0)/1440,$A132)))</f>
        <v/>
      </c>
      <c r="AI132">
        <f>IF(AH132="","",ROUND(MOD(AH132,1)*1440,0))</f>
        <v/>
      </c>
      <c r="AJ132">
        <f>IF(T132="","",INDEX('Critérios e pesos'!$E$29:$E$32,MATCH(T132,'Critérios e pesos'!$A$29:$A$32,0)))</f>
        <v/>
      </c>
    </row>
    <row r="133">
      <c r="A133" s="13" t="n"/>
      <c r="B133" s="6" t="n"/>
      <c r="C133" s="6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6" t="n"/>
      <c r="O133" s="6" t="n"/>
      <c r="P133" s="14">
        <f>IF($B133="","",(E133="Claro")*'Critérios e pesos'!$G$5+(E133="Em parte")*'Critérios e pesos'!$G$5/2+(F133="Claro")*'Critérios e pesos'!$G$6+(F133="Em parte")*'Critérios e pesos'!$G$6/2+(G133="Claro")*'Critérios e pesos'!$G$7+(G133="Em parte")*'Critérios e pesos'!$G$7/2+(H133="Claro")*'Critérios e pesos'!$G$8+(H133="Em parte")*'Critérios e pesos'!$G$8/2)</f>
        <v/>
      </c>
      <c r="Q133" s="14">
        <f>IF($B133="","",(I133="Claro")*'Critérios e pesos'!$G$9+(I133="Em parte")*'Critérios e pesos'!$G$9/2+(J133="Claro")*'Critérios e pesos'!$G$10+(J133="Em parte")*'Critérios e pesos'!$G$10/2+(K133="Claro")*'Critérios e pesos'!$G$11+(K133="Em parte")*'Critérios e pesos'!$G$11/2+(L133="Claro")*'Critérios e pesos'!$G$12+(L133="Em parte")*'Critérios e pesos'!$G$12/2+(M133="Claro")*'Critérios e pesos'!$G$13+(M133="Em parte")*'Critérios e pesos'!$G$13/2)</f>
        <v/>
      </c>
      <c r="R133" s="14">
        <f>IF($B133="","",IFERROR(VLOOKUP(N133,'Critérios e pesos'!$B$17:$C$20,2,FALSE),0))</f>
        <v/>
      </c>
      <c r="S133" s="9">
        <f>IF($B133="","",MAX(0,P133+Q133+R133))</f>
        <v/>
      </c>
      <c r="T133" s="9">
        <f>IF($B133="","",IF(O133&lt;&gt;"","X",IF(S133&gt;='Critérios e pesos'!$C$29,"A",IF(S133&gt;='Critérios e pesos'!$C$30,"B","C"))))</f>
        <v/>
      </c>
      <c r="U133" s="14">
        <f>IF(T133="","",INDEX('Critérios e pesos'!$D$29:$D$32,MATCH(T133,'Critérios e pesos'!$A$29:$A$32,0)))</f>
        <v/>
      </c>
      <c r="V133" s="14">
        <f>IF(T133="","",INDEX('Critérios e pesos'!$F$29:$F$32,MATCH(T133,'Critérios e pesos'!$A$29:$A$32,0)))</f>
        <v/>
      </c>
      <c r="W133" s="15">
        <f>IF(OR(AH133="",AJ133=""),"",IF(AI133+AJ133*60&lt;=ROUND('Critérios e pesos'!$C$37*1440,0),INT(AH133)+(AI133+AJ133*60)/1440,WORKDAY(INT(AH133),1+INT((AI133+AJ133*60-ROUND('Critérios e pesos'!$C$37*1440,0)-1)/(ROUND('Critérios e pesos'!$C$37*1440,0)-ROUND('Critérios e pesos'!$C$36*1440,0))))+(ROUND('Critérios e pesos'!$C$36*1440,0)+AI133+AJ133*60-ROUND('Critérios e pesos'!$C$37*1440,0)-INT((AI133+AJ133*60-ROUND('Critérios e pesos'!$C$37*1440,0)-1)/(ROUND('Critérios e pesos'!$C$37*1440,0)-ROUND('Critérios e pesos'!$C$36*1440,0)))*(ROUND('Critérios e pesos'!$C$37*1440,0)-ROUND('Critérios e pesos'!$C$36*1440,0)))/1440))</f>
        <v/>
      </c>
      <c r="X133" s="16" t="n"/>
      <c r="Y133" s="14">
        <f>IF(W133="","",IF(X133="",IF(NOW()&gt;W133,"Atrasado","Em espera"),IF(X133&lt;=W133,"No prazo","Atrasado")))</f>
        <v/>
      </c>
      <c r="Z133" s="17" t="n"/>
      <c r="AA133" s="14">
        <f>IF($B133="","",IF(OR(T133="X",AD133&lt;&gt;""),0,MAX(0,MIN(Q133,'Critérios e pesos'!$C$38*INT((TODAY()-IF(Z133&lt;&gt;"",Z133,INT($A133)))/7)))))</f>
        <v/>
      </c>
      <c r="AB133" s="14">
        <f>IF($B133="","",MAX(0,S133-AA133))</f>
        <v/>
      </c>
      <c r="AC133" s="9">
        <f>IF($B133="","",IF(T133="X","X",IF(AB133&gt;='Critérios e pesos'!$C$29,"A",IF(AB133&gt;='Critérios e pesos'!$C$30,"B","C"))))</f>
        <v/>
      </c>
      <c r="AD133" s="4" t="n"/>
      <c r="AE133" s="18" t="n"/>
      <c r="AF133" s="6" t="n"/>
      <c r="AH133">
        <f>IF($A133="","",IF(OR(WEEKDAY($A133,2)&gt;5,ROUND(MOD($A133,1)*1440,0)&gt;=ROUND('Critérios e pesos'!$C$37*1440,0)),WORKDAY(INT($A133),1)+ROUND('Critérios e pesos'!$C$36*1440,0)/1440,IF(ROUND(MOD($A133,1)*1440,0)&lt;ROUND('Critérios e pesos'!$C$36*1440,0),INT($A133)+ROUND('Critérios e pesos'!$C$36*1440,0)/1440,$A133)))</f>
        <v/>
      </c>
      <c r="AI133">
        <f>IF(AH133="","",ROUND(MOD(AH133,1)*1440,0))</f>
        <v/>
      </c>
      <c r="AJ133">
        <f>IF(T133="","",INDEX('Critérios e pesos'!$E$29:$E$32,MATCH(T133,'Critérios e pesos'!$A$29:$A$32,0)))</f>
        <v/>
      </c>
    </row>
    <row r="134">
      <c r="A134" s="13" t="n"/>
      <c r="B134" s="6" t="n"/>
      <c r="C134" s="6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6" t="n"/>
      <c r="O134" s="6" t="n"/>
      <c r="P134" s="14">
        <f>IF($B134="","",(E134="Claro")*'Critérios e pesos'!$G$5+(E134="Em parte")*'Critérios e pesos'!$G$5/2+(F134="Claro")*'Critérios e pesos'!$G$6+(F134="Em parte")*'Critérios e pesos'!$G$6/2+(G134="Claro")*'Critérios e pesos'!$G$7+(G134="Em parte")*'Critérios e pesos'!$G$7/2+(H134="Claro")*'Critérios e pesos'!$G$8+(H134="Em parte")*'Critérios e pesos'!$G$8/2)</f>
        <v/>
      </c>
      <c r="Q134" s="14">
        <f>IF($B134="","",(I134="Claro")*'Critérios e pesos'!$G$9+(I134="Em parte")*'Critérios e pesos'!$G$9/2+(J134="Claro")*'Critérios e pesos'!$G$10+(J134="Em parte")*'Critérios e pesos'!$G$10/2+(K134="Claro")*'Critérios e pesos'!$G$11+(K134="Em parte")*'Critérios e pesos'!$G$11/2+(L134="Claro")*'Critérios e pesos'!$G$12+(L134="Em parte")*'Critérios e pesos'!$G$12/2+(M134="Claro")*'Critérios e pesos'!$G$13+(M134="Em parte")*'Critérios e pesos'!$G$13/2)</f>
        <v/>
      </c>
      <c r="R134" s="14">
        <f>IF($B134="","",IFERROR(VLOOKUP(N134,'Critérios e pesos'!$B$17:$C$20,2,FALSE),0))</f>
        <v/>
      </c>
      <c r="S134" s="9">
        <f>IF($B134="","",MAX(0,P134+Q134+R134))</f>
        <v/>
      </c>
      <c r="T134" s="9">
        <f>IF($B134="","",IF(O134&lt;&gt;"","X",IF(S134&gt;='Critérios e pesos'!$C$29,"A",IF(S134&gt;='Critérios e pesos'!$C$30,"B","C"))))</f>
        <v/>
      </c>
      <c r="U134" s="14">
        <f>IF(T134="","",INDEX('Critérios e pesos'!$D$29:$D$32,MATCH(T134,'Critérios e pesos'!$A$29:$A$32,0)))</f>
        <v/>
      </c>
      <c r="V134" s="14">
        <f>IF(T134="","",INDEX('Critérios e pesos'!$F$29:$F$32,MATCH(T134,'Critérios e pesos'!$A$29:$A$32,0)))</f>
        <v/>
      </c>
      <c r="W134" s="15">
        <f>IF(OR(AH134="",AJ134=""),"",IF(AI134+AJ134*60&lt;=ROUND('Critérios e pesos'!$C$37*1440,0),INT(AH134)+(AI134+AJ134*60)/1440,WORKDAY(INT(AH134),1+INT((AI134+AJ134*60-ROUND('Critérios e pesos'!$C$37*1440,0)-1)/(ROUND('Critérios e pesos'!$C$37*1440,0)-ROUND('Critérios e pesos'!$C$36*1440,0))))+(ROUND('Critérios e pesos'!$C$36*1440,0)+AI134+AJ134*60-ROUND('Critérios e pesos'!$C$37*1440,0)-INT((AI134+AJ134*60-ROUND('Critérios e pesos'!$C$37*1440,0)-1)/(ROUND('Critérios e pesos'!$C$37*1440,0)-ROUND('Critérios e pesos'!$C$36*1440,0)))*(ROUND('Critérios e pesos'!$C$37*1440,0)-ROUND('Critérios e pesos'!$C$36*1440,0)))/1440))</f>
        <v/>
      </c>
      <c r="X134" s="16" t="n"/>
      <c r="Y134" s="14">
        <f>IF(W134="","",IF(X134="",IF(NOW()&gt;W134,"Atrasado","Em espera"),IF(X134&lt;=W134,"No prazo","Atrasado")))</f>
        <v/>
      </c>
      <c r="Z134" s="17" t="n"/>
      <c r="AA134" s="14">
        <f>IF($B134="","",IF(OR(T134="X",AD134&lt;&gt;""),0,MAX(0,MIN(Q134,'Critérios e pesos'!$C$38*INT((TODAY()-IF(Z134&lt;&gt;"",Z134,INT($A134)))/7)))))</f>
        <v/>
      </c>
      <c r="AB134" s="14">
        <f>IF($B134="","",MAX(0,S134-AA134))</f>
        <v/>
      </c>
      <c r="AC134" s="9">
        <f>IF($B134="","",IF(T134="X","X",IF(AB134&gt;='Critérios e pesos'!$C$29,"A",IF(AB134&gt;='Critérios e pesos'!$C$30,"B","C"))))</f>
        <v/>
      </c>
      <c r="AD134" s="4" t="n"/>
      <c r="AE134" s="18" t="n"/>
      <c r="AF134" s="6" t="n"/>
      <c r="AH134">
        <f>IF($A134="","",IF(OR(WEEKDAY($A134,2)&gt;5,ROUND(MOD($A134,1)*1440,0)&gt;=ROUND('Critérios e pesos'!$C$37*1440,0)),WORKDAY(INT($A134),1)+ROUND('Critérios e pesos'!$C$36*1440,0)/1440,IF(ROUND(MOD($A134,1)*1440,0)&lt;ROUND('Critérios e pesos'!$C$36*1440,0),INT($A134)+ROUND('Critérios e pesos'!$C$36*1440,0)/1440,$A134)))</f>
        <v/>
      </c>
      <c r="AI134">
        <f>IF(AH134="","",ROUND(MOD(AH134,1)*1440,0))</f>
        <v/>
      </c>
      <c r="AJ134">
        <f>IF(T134="","",INDEX('Critérios e pesos'!$E$29:$E$32,MATCH(T134,'Critérios e pesos'!$A$29:$A$32,0)))</f>
        <v/>
      </c>
    </row>
    <row r="135">
      <c r="A135" s="13" t="n"/>
      <c r="B135" s="6" t="n"/>
      <c r="C135" s="6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6" t="n"/>
      <c r="O135" s="6" t="n"/>
      <c r="P135" s="14">
        <f>IF($B135="","",(E135="Claro")*'Critérios e pesos'!$G$5+(E135="Em parte")*'Critérios e pesos'!$G$5/2+(F135="Claro")*'Critérios e pesos'!$G$6+(F135="Em parte")*'Critérios e pesos'!$G$6/2+(G135="Claro")*'Critérios e pesos'!$G$7+(G135="Em parte")*'Critérios e pesos'!$G$7/2+(H135="Claro")*'Critérios e pesos'!$G$8+(H135="Em parte")*'Critérios e pesos'!$G$8/2)</f>
        <v/>
      </c>
      <c r="Q135" s="14">
        <f>IF($B135="","",(I135="Claro")*'Critérios e pesos'!$G$9+(I135="Em parte")*'Critérios e pesos'!$G$9/2+(J135="Claro")*'Critérios e pesos'!$G$10+(J135="Em parte")*'Critérios e pesos'!$G$10/2+(K135="Claro")*'Critérios e pesos'!$G$11+(K135="Em parte")*'Critérios e pesos'!$G$11/2+(L135="Claro")*'Critérios e pesos'!$G$12+(L135="Em parte")*'Critérios e pesos'!$G$12/2+(M135="Claro")*'Critérios e pesos'!$G$13+(M135="Em parte")*'Critérios e pesos'!$G$13/2)</f>
        <v/>
      </c>
      <c r="R135" s="14">
        <f>IF($B135="","",IFERROR(VLOOKUP(N135,'Critérios e pesos'!$B$17:$C$20,2,FALSE),0))</f>
        <v/>
      </c>
      <c r="S135" s="9">
        <f>IF($B135="","",MAX(0,P135+Q135+R135))</f>
        <v/>
      </c>
      <c r="T135" s="9">
        <f>IF($B135="","",IF(O135&lt;&gt;"","X",IF(S135&gt;='Critérios e pesos'!$C$29,"A",IF(S135&gt;='Critérios e pesos'!$C$30,"B","C"))))</f>
        <v/>
      </c>
      <c r="U135" s="14">
        <f>IF(T135="","",INDEX('Critérios e pesos'!$D$29:$D$32,MATCH(T135,'Critérios e pesos'!$A$29:$A$32,0)))</f>
        <v/>
      </c>
      <c r="V135" s="14">
        <f>IF(T135="","",INDEX('Critérios e pesos'!$F$29:$F$32,MATCH(T135,'Critérios e pesos'!$A$29:$A$32,0)))</f>
        <v/>
      </c>
      <c r="W135" s="15">
        <f>IF(OR(AH135="",AJ135=""),"",IF(AI135+AJ135*60&lt;=ROUND('Critérios e pesos'!$C$37*1440,0),INT(AH135)+(AI135+AJ135*60)/1440,WORKDAY(INT(AH135),1+INT((AI135+AJ135*60-ROUND('Critérios e pesos'!$C$37*1440,0)-1)/(ROUND('Critérios e pesos'!$C$37*1440,0)-ROUND('Critérios e pesos'!$C$36*1440,0))))+(ROUND('Critérios e pesos'!$C$36*1440,0)+AI135+AJ135*60-ROUND('Critérios e pesos'!$C$37*1440,0)-INT((AI135+AJ135*60-ROUND('Critérios e pesos'!$C$37*1440,0)-1)/(ROUND('Critérios e pesos'!$C$37*1440,0)-ROUND('Critérios e pesos'!$C$36*1440,0)))*(ROUND('Critérios e pesos'!$C$37*1440,0)-ROUND('Critérios e pesos'!$C$36*1440,0)))/1440))</f>
        <v/>
      </c>
      <c r="X135" s="16" t="n"/>
      <c r="Y135" s="14">
        <f>IF(W135="","",IF(X135="",IF(NOW()&gt;W135,"Atrasado","Em espera"),IF(X135&lt;=W135,"No prazo","Atrasado")))</f>
        <v/>
      </c>
      <c r="Z135" s="17" t="n"/>
      <c r="AA135" s="14">
        <f>IF($B135="","",IF(OR(T135="X",AD135&lt;&gt;""),0,MAX(0,MIN(Q135,'Critérios e pesos'!$C$38*INT((TODAY()-IF(Z135&lt;&gt;"",Z135,INT($A135)))/7)))))</f>
        <v/>
      </c>
      <c r="AB135" s="14">
        <f>IF($B135="","",MAX(0,S135-AA135))</f>
        <v/>
      </c>
      <c r="AC135" s="9">
        <f>IF($B135="","",IF(T135="X","X",IF(AB135&gt;='Critérios e pesos'!$C$29,"A",IF(AB135&gt;='Critérios e pesos'!$C$30,"B","C"))))</f>
        <v/>
      </c>
      <c r="AD135" s="4" t="n"/>
      <c r="AE135" s="18" t="n"/>
      <c r="AF135" s="6" t="n"/>
      <c r="AH135">
        <f>IF($A135="","",IF(OR(WEEKDAY($A135,2)&gt;5,ROUND(MOD($A135,1)*1440,0)&gt;=ROUND('Critérios e pesos'!$C$37*1440,0)),WORKDAY(INT($A135),1)+ROUND('Critérios e pesos'!$C$36*1440,0)/1440,IF(ROUND(MOD($A135,1)*1440,0)&lt;ROUND('Critérios e pesos'!$C$36*1440,0),INT($A135)+ROUND('Critérios e pesos'!$C$36*1440,0)/1440,$A135)))</f>
        <v/>
      </c>
      <c r="AI135">
        <f>IF(AH135="","",ROUND(MOD(AH135,1)*1440,0))</f>
        <v/>
      </c>
      <c r="AJ135">
        <f>IF(T135="","",INDEX('Critérios e pesos'!$E$29:$E$32,MATCH(T135,'Critérios e pesos'!$A$29:$A$32,0)))</f>
        <v/>
      </c>
    </row>
    <row r="136">
      <c r="A136" s="13" t="n"/>
      <c r="B136" s="6" t="n"/>
      <c r="C136" s="6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6" t="n"/>
      <c r="O136" s="6" t="n"/>
      <c r="P136" s="14">
        <f>IF($B136="","",(E136="Claro")*'Critérios e pesos'!$G$5+(E136="Em parte")*'Critérios e pesos'!$G$5/2+(F136="Claro")*'Critérios e pesos'!$G$6+(F136="Em parte")*'Critérios e pesos'!$G$6/2+(G136="Claro")*'Critérios e pesos'!$G$7+(G136="Em parte")*'Critérios e pesos'!$G$7/2+(H136="Claro")*'Critérios e pesos'!$G$8+(H136="Em parte")*'Critérios e pesos'!$G$8/2)</f>
        <v/>
      </c>
      <c r="Q136" s="14">
        <f>IF($B136="","",(I136="Claro")*'Critérios e pesos'!$G$9+(I136="Em parte")*'Critérios e pesos'!$G$9/2+(J136="Claro")*'Critérios e pesos'!$G$10+(J136="Em parte")*'Critérios e pesos'!$G$10/2+(K136="Claro")*'Critérios e pesos'!$G$11+(K136="Em parte")*'Critérios e pesos'!$G$11/2+(L136="Claro")*'Critérios e pesos'!$G$12+(L136="Em parte")*'Critérios e pesos'!$G$12/2+(M136="Claro")*'Critérios e pesos'!$G$13+(M136="Em parte")*'Critérios e pesos'!$G$13/2)</f>
        <v/>
      </c>
      <c r="R136" s="14">
        <f>IF($B136="","",IFERROR(VLOOKUP(N136,'Critérios e pesos'!$B$17:$C$20,2,FALSE),0))</f>
        <v/>
      </c>
      <c r="S136" s="9">
        <f>IF($B136="","",MAX(0,P136+Q136+R136))</f>
        <v/>
      </c>
      <c r="T136" s="9">
        <f>IF($B136="","",IF(O136&lt;&gt;"","X",IF(S136&gt;='Critérios e pesos'!$C$29,"A",IF(S136&gt;='Critérios e pesos'!$C$30,"B","C"))))</f>
        <v/>
      </c>
      <c r="U136" s="14">
        <f>IF(T136="","",INDEX('Critérios e pesos'!$D$29:$D$32,MATCH(T136,'Critérios e pesos'!$A$29:$A$32,0)))</f>
        <v/>
      </c>
      <c r="V136" s="14">
        <f>IF(T136="","",INDEX('Critérios e pesos'!$F$29:$F$32,MATCH(T136,'Critérios e pesos'!$A$29:$A$32,0)))</f>
        <v/>
      </c>
      <c r="W136" s="15">
        <f>IF(OR(AH136="",AJ136=""),"",IF(AI136+AJ136*60&lt;=ROUND('Critérios e pesos'!$C$37*1440,0),INT(AH136)+(AI136+AJ136*60)/1440,WORKDAY(INT(AH136),1+INT((AI136+AJ136*60-ROUND('Critérios e pesos'!$C$37*1440,0)-1)/(ROUND('Critérios e pesos'!$C$37*1440,0)-ROUND('Critérios e pesos'!$C$36*1440,0))))+(ROUND('Critérios e pesos'!$C$36*1440,0)+AI136+AJ136*60-ROUND('Critérios e pesos'!$C$37*1440,0)-INT((AI136+AJ136*60-ROUND('Critérios e pesos'!$C$37*1440,0)-1)/(ROUND('Critérios e pesos'!$C$37*1440,0)-ROUND('Critérios e pesos'!$C$36*1440,0)))*(ROUND('Critérios e pesos'!$C$37*1440,0)-ROUND('Critérios e pesos'!$C$36*1440,0)))/1440))</f>
        <v/>
      </c>
      <c r="X136" s="16" t="n"/>
      <c r="Y136" s="14">
        <f>IF(W136="","",IF(X136="",IF(NOW()&gt;W136,"Atrasado","Em espera"),IF(X136&lt;=W136,"No prazo","Atrasado")))</f>
        <v/>
      </c>
      <c r="Z136" s="17" t="n"/>
      <c r="AA136" s="14">
        <f>IF($B136="","",IF(OR(T136="X",AD136&lt;&gt;""),0,MAX(0,MIN(Q136,'Critérios e pesos'!$C$38*INT((TODAY()-IF(Z136&lt;&gt;"",Z136,INT($A136)))/7)))))</f>
        <v/>
      </c>
      <c r="AB136" s="14">
        <f>IF($B136="","",MAX(0,S136-AA136))</f>
        <v/>
      </c>
      <c r="AC136" s="9">
        <f>IF($B136="","",IF(T136="X","X",IF(AB136&gt;='Critérios e pesos'!$C$29,"A",IF(AB136&gt;='Critérios e pesos'!$C$30,"B","C"))))</f>
        <v/>
      </c>
      <c r="AD136" s="4" t="n"/>
      <c r="AE136" s="18" t="n"/>
      <c r="AF136" s="6" t="n"/>
      <c r="AH136">
        <f>IF($A136="","",IF(OR(WEEKDAY($A136,2)&gt;5,ROUND(MOD($A136,1)*1440,0)&gt;=ROUND('Critérios e pesos'!$C$37*1440,0)),WORKDAY(INT($A136),1)+ROUND('Critérios e pesos'!$C$36*1440,0)/1440,IF(ROUND(MOD($A136,1)*1440,0)&lt;ROUND('Critérios e pesos'!$C$36*1440,0),INT($A136)+ROUND('Critérios e pesos'!$C$36*1440,0)/1440,$A136)))</f>
        <v/>
      </c>
      <c r="AI136">
        <f>IF(AH136="","",ROUND(MOD(AH136,1)*1440,0))</f>
        <v/>
      </c>
      <c r="AJ136">
        <f>IF(T136="","",INDEX('Critérios e pesos'!$E$29:$E$32,MATCH(T136,'Critérios e pesos'!$A$29:$A$32,0)))</f>
        <v/>
      </c>
    </row>
    <row r="137">
      <c r="A137" s="13" t="n"/>
      <c r="B137" s="6" t="n"/>
      <c r="C137" s="6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6" t="n"/>
      <c r="O137" s="6" t="n"/>
      <c r="P137" s="14">
        <f>IF($B137="","",(E137="Claro")*'Critérios e pesos'!$G$5+(E137="Em parte")*'Critérios e pesos'!$G$5/2+(F137="Claro")*'Critérios e pesos'!$G$6+(F137="Em parte")*'Critérios e pesos'!$G$6/2+(G137="Claro")*'Critérios e pesos'!$G$7+(G137="Em parte")*'Critérios e pesos'!$G$7/2+(H137="Claro")*'Critérios e pesos'!$G$8+(H137="Em parte")*'Critérios e pesos'!$G$8/2)</f>
        <v/>
      </c>
      <c r="Q137" s="14">
        <f>IF($B137="","",(I137="Claro")*'Critérios e pesos'!$G$9+(I137="Em parte")*'Critérios e pesos'!$G$9/2+(J137="Claro")*'Critérios e pesos'!$G$10+(J137="Em parte")*'Critérios e pesos'!$G$10/2+(K137="Claro")*'Critérios e pesos'!$G$11+(K137="Em parte")*'Critérios e pesos'!$G$11/2+(L137="Claro")*'Critérios e pesos'!$G$12+(L137="Em parte")*'Critérios e pesos'!$G$12/2+(M137="Claro")*'Critérios e pesos'!$G$13+(M137="Em parte")*'Critérios e pesos'!$G$13/2)</f>
        <v/>
      </c>
      <c r="R137" s="14">
        <f>IF($B137="","",IFERROR(VLOOKUP(N137,'Critérios e pesos'!$B$17:$C$20,2,FALSE),0))</f>
        <v/>
      </c>
      <c r="S137" s="9">
        <f>IF($B137="","",MAX(0,P137+Q137+R137))</f>
        <v/>
      </c>
      <c r="T137" s="9">
        <f>IF($B137="","",IF(O137&lt;&gt;"","X",IF(S137&gt;='Critérios e pesos'!$C$29,"A",IF(S137&gt;='Critérios e pesos'!$C$30,"B","C"))))</f>
        <v/>
      </c>
      <c r="U137" s="14">
        <f>IF(T137="","",INDEX('Critérios e pesos'!$D$29:$D$32,MATCH(T137,'Critérios e pesos'!$A$29:$A$32,0)))</f>
        <v/>
      </c>
      <c r="V137" s="14">
        <f>IF(T137="","",INDEX('Critérios e pesos'!$F$29:$F$32,MATCH(T137,'Critérios e pesos'!$A$29:$A$32,0)))</f>
        <v/>
      </c>
      <c r="W137" s="15">
        <f>IF(OR(AH137="",AJ137=""),"",IF(AI137+AJ137*60&lt;=ROUND('Critérios e pesos'!$C$37*1440,0),INT(AH137)+(AI137+AJ137*60)/1440,WORKDAY(INT(AH137),1+INT((AI137+AJ137*60-ROUND('Critérios e pesos'!$C$37*1440,0)-1)/(ROUND('Critérios e pesos'!$C$37*1440,0)-ROUND('Critérios e pesos'!$C$36*1440,0))))+(ROUND('Critérios e pesos'!$C$36*1440,0)+AI137+AJ137*60-ROUND('Critérios e pesos'!$C$37*1440,0)-INT((AI137+AJ137*60-ROUND('Critérios e pesos'!$C$37*1440,0)-1)/(ROUND('Critérios e pesos'!$C$37*1440,0)-ROUND('Critérios e pesos'!$C$36*1440,0)))*(ROUND('Critérios e pesos'!$C$37*1440,0)-ROUND('Critérios e pesos'!$C$36*1440,0)))/1440))</f>
        <v/>
      </c>
      <c r="X137" s="16" t="n"/>
      <c r="Y137" s="14">
        <f>IF(W137="","",IF(X137="",IF(NOW()&gt;W137,"Atrasado","Em espera"),IF(X137&lt;=W137,"No prazo","Atrasado")))</f>
        <v/>
      </c>
      <c r="Z137" s="17" t="n"/>
      <c r="AA137" s="14">
        <f>IF($B137="","",IF(OR(T137="X",AD137&lt;&gt;""),0,MAX(0,MIN(Q137,'Critérios e pesos'!$C$38*INT((TODAY()-IF(Z137&lt;&gt;"",Z137,INT($A137)))/7)))))</f>
        <v/>
      </c>
      <c r="AB137" s="14">
        <f>IF($B137="","",MAX(0,S137-AA137))</f>
        <v/>
      </c>
      <c r="AC137" s="9">
        <f>IF($B137="","",IF(T137="X","X",IF(AB137&gt;='Critérios e pesos'!$C$29,"A",IF(AB137&gt;='Critérios e pesos'!$C$30,"B","C"))))</f>
        <v/>
      </c>
      <c r="AD137" s="4" t="n"/>
      <c r="AE137" s="18" t="n"/>
      <c r="AF137" s="6" t="n"/>
      <c r="AH137">
        <f>IF($A137="","",IF(OR(WEEKDAY($A137,2)&gt;5,ROUND(MOD($A137,1)*1440,0)&gt;=ROUND('Critérios e pesos'!$C$37*1440,0)),WORKDAY(INT($A137),1)+ROUND('Critérios e pesos'!$C$36*1440,0)/1440,IF(ROUND(MOD($A137,1)*1440,0)&lt;ROUND('Critérios e pesos'!$C$36*1440,0),INT($A137)+ROUND('Critérios e pesos'!$C$36*1440,0)/1440,$A137)))</f>
        <v/>
      </c>
      <c r="AI137">
        <f>IF(AH137="","",ROUND(MOD(AH137,1)*1440,0))</f>
        <v/>
      </c>
      <c r="AJ137">
        <f>IF(T137="","",INDEX('Critérios e pesos'!$E$29:$E$32,MATCH(T137,'Critérios e pesos'!$A$29:$A$32,0)))</f>
        <v/>
      </c>
    </row>
    <row r="138">
      <c r="A138" s="13" t="n"/>
      <c r="B138" s="6" t="n"/>
      <c r="C138" s="6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6" t="n"/>
      <c r="O138" s="6" t="n"/>
      <c r="P138" s="14">
        <f>IF($B138="","",(E138="Claro")*'Critérios e pesos'!$G$5+(E138="Em parte")*'Critérios e pesos'!$G$5/2+(F138="Claro")*'Critérios e pesos'!$G$6+(F138="Em parte")*'Critérios e pesos'!$G$6/2+(G138="Claro")*'Critérios e pesos'!$G$7+(G138="Em parte")*'Critérios e pesos'!$G$7/2+(H138="Claro")*'Critérios e pesos'!$G$8+(H138="Em parte")*'Critérios e pesos'!$G$8/2)</f>
        <v/>
      </c>
      <c r="Q138" s="14">
        <f>IF($B138="","",(I138="Claro")*'Critérios e pesos'!$G$9+(I138="Em parte")*'Critérios e pesos'!$G$9/2+(J138="Claro")*'Critérios e pesos'!$G$10+(J138="Em parte")*'Critérios e pesos'!$G$10/2+(K138="Claro")*'Critérios e pesos'!$G$11+(K138="Em parte")*'Critérios e pesos'!$G$11/2+(L138="Claro")*'Critérios e pesos'!$G$12+(L138="Em parte")*'Critérios e pesos'!$G$12/2+(M138="Claro")*'Critérios e pesos'!$G$13+(M138="Em parte")*'Critérios e pesos'!$G$13/2)</f>
        <v/>
      </c>
      <c r="R138" s="14">
        <f>IF($B138="","",IFERROR(VLOOKUP(N138,'Critérios e pesos'!$B$17:$C$20,2,FALSE),0))</f>
        <v/>
      </c>
      <c r="S138" s="9">
        <f>IF($B138="","",MAX(0,P138+Q138+R138))</f>
        <v/>
      </c>
      <c r="T138" s="9">
        <f>IF($B138="","",IF(O138&lt;&gt;"","X",IF(S138&gt;='Critérios e pesos'!$C$29,"A",IF(S138&gt;='Critérios e pesos'!$C$30,"B","C"))))</f>
        <v/>
      </c>
      <c r="U138" s="14">
        <f>IF(T138="","",INDEX('Critérios e pesos'!$D$29:$D$32,MATCH(T138,'Critérios e pesos'!$A$29:$A$32,0)))</f>
        <v/>
      </c>
      <c r="V138" s="14">
        <f>IF(T138="","",INDEX('Critérios e pesos'!$F$29:$F$32,MATCH(T138,'Critérios e pesos'!$A$29:$A$32,0)))</f>
        <v/>
      </c>
      <c r="W138" s="15">
        <f>IF(OR(AH138="",AJ138=""),"",IF(AI138+AJ138*60&lt;=ROUND('Critérios e pesos'!$C$37*1440,0),INT(AH138)+(AI138+AJ138*60)/1440,WORKDAY(INT(AH138),1+INT((AI138+AJ138*60-ROUND('Critérios e pesos'!$C$37*1440,0)-1)/(ROUND('Critérios e pesos'!$C$37*1440,0)-ROUND('Critérios e pesos'!$C$36*1440,0))))+(ROUND('Critérios e pesos'!$C$36*1440,0)+AI138+AJ138*60-ROUND('Critérios e pesos'!$C$37*1440,0)-INT((AI138+AJ138*60-ROUND('Critérios e pesos'!$C$37*1440,0)-1)/(ROUND('Critérios e pesos'!$C$37*1440,0)-ROUND('Critérios e pesos'!$C$36*1440,0)))*(ROUND('Critérios e pesos'!$C$37*1440,0)-ROUND('Critérios e pesos'!$C$36*1440,0)))/1440))</f>
        <v/>
      </c>
      <c r="X138" s="16" t="n"/>
      <c r="Y138" s="14">
        <f>IF(W138="","",IF(X138="",IF(NOW()&gt;W138,"Atrasado","Em espera"),IF(X138&lt;=W138,"No prazo","Atrasado")))</f>
        <v/>
      </c>
      <c r="Z138" s="17" t="n"/>
      <c r="AA138" s="14">
        <f>IF($B138="","",IF(OR(T138="X",AD138&lt;&gt;""),0,MAX(0,MIN(Q138,'Critérios e pesos'!$C$38*INT((TODAY()-IF(Z138&lt;&gt;"",Z138,INT($A138)))/7)))))</f>
        <v/>
      </c>
      <c r="AB138" s="14">
        <f>IF($B138="","",MAX(0,S138-AA138))</f>
        <v/>
      </c>
      <c r="AC138" s="9">
        <f>IF($B138="","",IF(T138="X","X",IF(AB138&gt;='Critérios e pesos'!$C$29,"A",IF(AB138&gt;='Critérios e pesos'!$C$30,"B","C"))))</f>
        <v/>
      </c>
      <c r="AD138" s="4" t="n"/>
      <c r="AE138" s="18" t="n"/>
      <c r="AF138" s="6" t="n"/>
      <c r="AH138">
        <f>IF($A138="","",IF(OR(WEEKDAY($A138,2)&gt;5,ROUND(MOD($A138,1)*1440,0)&gt;=ROUND('Critérios e pesos'!$C$37*1440,0)),WORKDAY(INT($A138),1)+ROUND('Critérios e pesos'!$C$36*1440,0)/1440,IF(ROUND(MOD($A138,1)*1440,0)&lt;ROUND('Critérios e pesos'!$C$36*1440,0),INT($A138)+ROUND('Critérios e pesos'!$C$36*1440,0)/1440,$A138)))</f>
        <v/>
      </c>
      <c r="AI138">
        <f>IF(AH138="","",ROUND(MOD(AH138,1)*1440,0))</f>
        <v/>
      </c>
      <c r="AJ138">
        <f>IF(T138="","",INDEX('Critérios e pesos'!$E$29:$E$32,MATCH(T138,'Critérios e pesos'!$A$29:$A$32,0)))</f>
        <v/>
      </c>
    </row>
    <row r="139">
      <c r="A139" s="13" t="n"/>
      <c r="B139" s="6" t="n"/>
      <c r="C139" s="6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6" t="n"/>
      <c r="O139" s="6" t="n"/>
      <c r="P139" s="14">
        <f>IF($B139="","",(E139="Claro")*'Critérios e pesos'!$G$5+(E139="Em parte")*'Critérios e pesos'!$G$5/2+(F139="Claro")*'Critérios e pesos'!$G$6+(F139="Em parte")*'Critérios e pesos'!$G$6/2+(G139="Claro")*'Critérios e pesos'!$G$7+(G139="Em parte")*'Critérios e pesos'!$G$7/2+(H139="Claro")*'Critérios e pesos'!$G$8+(H139="Em parte")*'Critérios e pesos'!$G$8/2)</f>
        <v/>
      </c>
      <c r="Q139" s="14">
        <f>IF($B139="","",(I139="Claro")*'Critérios e pesos'!$G$9+(I139="Em parte")*'Critérios e pesos'!$G$9/2+(J139="Claro")*'Critérios e pesos'!$G$10+(J139="Em parte")*'Critérios e pesos'!$G$10/2+(K139="Claro")*'Critérios e pesos'!$G$11+(K139="Em parte")*'Critérios e pesos'!$G$11/2+(L139="Claro")*'Critérios e pesos'!$G$12+(L139="Em parte")*'Critérios e pesos'!$G$12/2+(M139="Claro")*'Critérios e pesos'!$G$13+(M139="Em parte")*'Critérios e pesos'!$G$13/2)</f>
        <v/>
      </c>
      <c r="R139" s="14">
        <f>IF($B139="","",IFERROR(VLOOKUP(N139,'Critérios e pesos'!$B$17:$C$20,2,FALSE),0))</f>
        <v/>
      </c>
      <c r="S139" s="9">
        <f>IF($B139="","",MAX(0,P139+Q139+R139))</f>
        <v/>
      </c>
      <c r="T139" s="9">
        <f>IF($B139="","",IF(O139&lt;&gt;"","X",IF(S139&gt;='Critérios e pesos'!$C$29,"A",IF(S139&gt;='Critérios e pesos'!$C$30,"B","C"))))</f>
        <v/>
      </c>
      <c r="U139" s="14">
        <f>IF(T139="","",INDEX('Critérios e pesos'!$D$29:$D$32,MATCH(T139,'Critérios e pesos'!$A$29:$A$32,0)))</f>
        <v/>
      </c>
      <c r="V139" s="14">
        <f>IF(T139="","",INDEX('Critérios e pesos'!$F$29:$F$32,MATCH(T139,'Critérios e pesos'!$A$29:$A$32,0)))</f>
        <v/>
      </c>
      <c r="W139" s="15">
        <f>IF(OR(AH139="",AJ139=""),"",IF(AI139+AJ139*60&lt;=ROUND('Critérios e pesos'!$C$37*1440,0),INT(AH139)+(AI139+AJ139*60)/1440,WORKDAY(INT(AH139),1+INT((AI139+AJ139*60-ROUND('Critérios e pesos'!$C$37*1440,0)-1)/(ROUND('Critérios e pesos'!$C$37*1440,0)-ROUND('Critérios e pesos'!$C$36*1440,0))))+(ROUND('Critérios e pesos'!$C$36*1440,0)+AI139+AJ139*60-ROUND('Critérios e pesos'!$C$37*1440,0)-INT((AI139+AJ139*60-ROUND('Critérios e pesos'!$C$37*1440,0)-1)/(ROUND('Critérios e pesos'!$C$37*1440,0)-ROUND('Critérios e pesos'!$C$36*1440,0)))*(ROUND('Critérios e pesos'!$C$37*1440,0)-ROUND('Critérios e pesos'!$C$36*1440,0)))/1440))</f>
        <v/>
      </c>
      <c r="X139" s="16" t="n"/>
      <c r="Y139" s="14">
        <f>IF(W139="","",IF(X139="",IF(NOW()&gt;W139,"Atrasado","Em espera"),IF(X139&lt;=W139,"No prazo","Atrasado")))</f>
        <v/>
      </c>
      <c r="Z139" s="17" t="n"/>
      <c r="AA139" s="14">
        <f>IF($B139="","",IF(OR(T139="X",AD139&lt;&gt;""),0,MAX(0,MIN(Q139,'Critérios e pesos'!$C$38*INT((TODAY()-IF(Z139&lt;&gt;"",Z139,INT($A139)))/7)))))</f>
        <v/>
      </c>
      <c r="AB139" s="14">
        <f>IF($B139="","",MAX(0,S139-AA139))</f>
        <v/>
      </c>
      <c r="AC139" s="9">
        <f>IF($B139="","",IF(T139="X","X",IF(AB139&gt;='Critérios e pesos'!$C$29,"A",IF(AB139&gt;='Critérios e pesos'!$C$30,"B","C"))))</f>
        <v/>
      </c>
      <c r="AD139" s="4" t="n"/>
      <c r="AE139" s="18" t="n"/>
      <c r="AF139" s="6" t="n"/>
      <c r="AH139">
        <f>IF($A139="","",IF(OR(WEEKDAY($A139,2)&gt;5,ROUND(MOD($A139,1)*1440,0)&gt;=ROUND('Critérios e pesos'!$C$37*1440,0)),WORKDAY(INT($A139),1)+ROUND('Critérios e pesos'!$C$36*1440,0)/1440,IF(ROUND(MOD($A139,1)*1440,0)&lt;ROUND('Critérios e pesos'!$C$36*1440,0),INT($A139)+ROUND('Critérios e pesos'!$C$36*1440,0)/1440,$A139)))</f>
        <v/>
      </c>
      <c r="AI139">
        <f>IF(AH139="","",ROUND(MOD(AH139,1)*1440,0))</f>
        <v/>
      </c>
      <c r="AJ139">
        <f>IF(T139="","",INDEX('Critérios e pesos'!$E$29:$E$32,MATCH(T139,'Critérios e pesos'!$A$29:$A$32,0)))</f>
        <v/>
      </c>
    </row>
    <row r="140">
      <c r="A140" s="13" t="n"/>
      <c r="B140" s="6" t="n"/>
      <c r="C140" s="6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6" t="n"/>
      <c r="O140" s="6" t="n"/>
      <c r="P140" s="14">
        <f>IF($B140="","",(E140="Claro")*'Critérios e pesos'!$G$5+(E140="Em parte")*'Critérios e pesos'!$G$5/2+(F140="Claro")*'Critérios e pesos'!$G$6+(F140="Em parte")*'Critérios e pesos'!$G$6/2+(G140="Claro")*'Critérios e pesos'!$G$7+(G140="Em parte")*'Critérios e pesos'!$G$7/2+(H140="Claro")*'Critérios e pesos'!$G$8+(H140="Em parte")*'Critérios e pesos'!$G$8/2)</f>
        <v/>
      </c>
      <c r="Q140" s="14">
        <f>IF($B140="","",(I140="Claro")*'Critérios e pesos'!$G$9+(I140="Em parte")*'Critérios e pesos'!$G$9/2+(J140="Claro")*'Critérios e pesos'!$G$10+(J140="Em parte")*'Critérios e pesos'!$G$10/2+(K140="Claro")*'Critérios e pesos'!$G$11+(K140="Em parte")*'Critérios e pesos'!$G$11/2+(L140="Claro")*'Critérios e pesos'!$G$12+(L140="Em parte")*'Critérios e pesos'!$G$12/2+(M140="Claro")*'Critérios e pesos'!$G$13+(M140="Em parte")*'Critérios e pesos'!$G$13/2)</f>
        <v/>
      </c>
      <c r="R140" s="14">
        <f>IF($B140="","",IFERROR(VLOOKUP(N140,'Critérios e pesos'!$B$17:$C$20,2,FALSE),0))</f>
        <v/>
      </c>
      <c r="S140" s="9">
        <f>IF($B140="","",MAX(0,P140+Q140+R140))</f>
        <v/>
      </c>
      <c r="T140" s="9">
        <f>IF($B140="","",IF(O140&lt;&gt;"","X",IF(S140&gt;='Critérios e pesos'!$C$29,"A",IF(S140&gt;='Critérios e pesos'!$C$30,"B","C"))))</f>
        <v/>
      </c>
      <c r="U140" s="14">
        <f>IF(T140="","",INDEX('Critérios e pesos'!$D$29:$D$32,MATCH(T140,'Critérios e pesos'!$A$29:$A$32,0)))</f>
        <v/>
      </c>
      <c r="V140" s="14">
        <f>IF(T140="","",INDEX('Critérios e pesos'!$F$29:$F$32,MATCH(T140,'Critérios e pesos'!$A$29:$A$32,0)))</f>
        <v/>
      </c>
      <c r="W140" s="15">
        <f>IF(OR(AH140="",AJ140=""),"",IF(AI140+AJ140*60&lt;=ROUND('Critérios e pesos'!$C$37*1440,0),INT(AH140)+(AI140+AJ140*60)/1440,WORKDAY(INT(AH140),1+INT((AI140+AJ140*60-ROUND('Critérios e pesos'!$C$37*1440,0)-1)/(ROUND('Critérios e pesos'!$C$37*1440,0)-ROUND('Critérios e pesos'!$C$36*1440,0))))+(ROUND('Critérios e pesos'!$C$36*1440,0)+AI140+AJ140*60-ROUND('Critérios e pesos'!$C$37*1440,0)-INT((AI140+AJ140*60-ROUND('Critérios e pesos'!$C$37*1440,0)-1)/(ROUND('Critérios e pesos'!$C$37*1440,0)-ROUND('Critérios e pesos'!$C$36*1440,0)))*(ROUND('Critérios e pesos'!$C$37*1440,0)-ROUND('Critérios e pesos'!$C$36*1440,0)))/1440))</f>
        <v/>
      </c>
      <c r="X140" s="16" t="n"/>
      <c r="Y140" s="14">
        <f>IF(W140="","",IF(X140="",IF(NOW()&gt;W140,"Atrasado","Em espera"),IF(X140&lt;=W140,"No prazo","Atrasado")))</f>
        <v/>
      </c>
      <c r="Z140" s="17" t="n"/>
      <c r="AA140" s="14">
        <f>IF($B140="","",IF(OR(T140="X",AD140&lt;&gt;""),0,MAX(0,MIN(Q140,'Critérios e pesos'!$C$38*INT((TODAY()-IF(Z140&lt;&gt;"",Z140,INT($A140)))/7)))))</f>
        <v/>
      </c>
      <c r="AB140" s="14">
        <f>IF($B140="","",MAX(0,S140-AA140))</f>
        <v/>
      </c>
      <c r="AC140" s="9">
        <f>IF($B140="","",IF(T140="X","X",IF(AB140&gt;='Critérios e pesos'!$C$29,"A",IF(AB140&gt;='Critérios e pesos'!$C$30,"B","C"))))</f>
        <v/>
      </c>
      <c r="AD140" s="4" t="n"/>
      <c r="AE140" s="18" t="n"/>
      <c r="AF140" s="6" t="n"/>
      <c r="AH140">
        <f>IF($A140="","",IF(OR(WEEKDAY($A140,2)&gt;5,ROUND(MOD($A140,1)*1440,0)&gt;=ROUND('Critérios e pesos'!$C$37*1440,0)),WORKDAY(INT($A140),1)+ROUND('Critérios e pesos'!$C$36*1440,0)/1440,IF(ROUND(MOD($A140,1)*1440,0)&lt;ROUND('Critérios e pesos'!$C$36*1440,0),INT($A140)+ROUND('Critérios e pesos'!$C$36*1440,0)/1440,$A140)))</f>
        <v/>
      </c>
      <c r="AI140">
        <f>IF(AH140="","",ROUND(MOD(AH140,1)*1440,0))</f>
        <v/>
      </c>
      <c r="AJ140">
        <f>IF(T140="","",INDEX('Critérios e pesos'!$E$29:$E$32,MATCH(T140,'Critérios e pesos'!$A$29:$A$32,0)))</f>
        <v/>
      </c>
    </row>
    <row r="141">
      <c r="A141" s="13" t="n"/>
      <c r="B141" s="6" t="n"/>
      <c r="C141" s="6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6" t="n"/>
      <c r="O141" s="6" t="n"/>
      <c r="P141" s="14">
        <f>IF($B141="","",(E141="Claro")*'Critérios e pesos'!$G$5+(E141="Em parte")*'Critérios e pesos'!$G$5/2+(F141="Claro")*'Critérios e pesos'!$G$6+(F141="Em parte")*'Critérios e pesos'!$G$6/2+(G141="Claro")*'Critérios e pesos'!$G$7+(G141="Em parte")*'Critérios e pesos'!$G$7/2+(H141="Claro")*'Critérios e pesos'!$G$8+(H141="Em parte")*'Critérios e pesos'!$G$8/2)</f>
        <v/>
      </c>
      <c r="Q141" s="14">
        <f>IF($B141="","",(I141="Claro")*'Critérios e pesos'!$G$9+(I141="Em parte")*'Critérios e pesos'!$G$9/2+(J141="Claro")*'Critérios e pesos'!$G$10+(J141="Em parte")*'Critérios e pesos'!$G$10/2+(K141="Claro")*'Critérios e pesos'!$G$11+(K141="Em parte")*'Critérios e pesos'!$G$11/2+(L141="Claro")*'Critérios e pesos'!$G$12+(L141="Em parte")*'Critérios e pesos'!$G$12/2+(M141="Claro")*'Critérios e pesos'!$G$13+(M141="Em parte")*'Critérios e pesos'!$G$13/2)</f>
        <v/>
      </c>
      <c r="R141" s="14">
        <f>IF($B141="","",IFERROR(VLOOKUP(N141,'Critérios e pesos'!$B$17:$C$20,2,FALSE),0))</f>
        <v/>
      </c>
      <c r="S141" s="9">
        <f>IF($B141="","",MAX(0,P141+Q141+R141))</f>
        <v/>
      </c>
      <c r="T141" s="9">
        <f>IF($B141="","",IF(O141&lt;&gt;"","X",IF(S141&gt;='Critérios e pesos'!$C$29,"A",IF(S141&gt;='Critérios e pesos'!$C$30,"B","C"))))</f>
        <v/>
      </c>
      <c r="U141" s="14">
        <f>IF(T141="","",INDEX('Critérios e pesos'!$D$29:$D$32,MATCH(T141,'Critérios e pesos'!$A$29:$A$32,0)))</f>
        <v/>
      </c>
      <c r="V141" s="14">
        <f>IF(T141="","",INDEX('Critérios e pesos'!$F$29:$F$32,MATCH(T141,'Critérios e pesos'!$A$29:$A$32,0)))</f>
        <v/>
      </c>
      <c r="W141" s="15">
        <f>IF(OR(AH141="",AJ141=""),"",IF(AI141+AJ141*60&lt;=ROUND('Critérios e pesos'!$C$37*1440,0),INT(AH141)+(AI141+AJ141*60)/1440,WORKDAY(INT(AH141),1+INT((AI141+AJ141*60-ROUND('Critérios e pesos'!$C$37*1440,0)-1)/(ROUND('Critérios e pesos'!$C$37*1440,0)-ROUND('Critérios e pesos'!$C$36*1440,0))))+(ROUND('Critérios e pesos'!$C$36*1440,0)+AI141+AJ141*60-ROUND('Critérios e pesos'!$C$37*1440,0)-INT((AI141+AJ141*60-ROUND('Critérios e pesos'!$C$37*1440,0)-1)/(ROUND('Critérios e pesos'!$C$37*1440,0)-ROUND('Critérios e pesos'!$C$36*1440,0)))*(ROUND('Critérios e pesos'!$C$37*1440,0)-ROUND('Critérios e pesos'!$C$36*1440,0)))/1440))</f>
        <v/>
      </c>
      <c r="X141" s="16" t="n"/>
      <c r="Y141" s="14">
        <f>IF(W141="","",IF(X141="",IF(NOW()&gt;W141,"Atrasado","Em espera"),IF(X141&lt;=W141,"No prazo","Atrasado")))</f>
        <v/>
      </c>
      <c r="Z141" s="17" t="n"/>
      <c r="AA141" s="14">
        <f>IF($B141="","",IF(OR(T141="X",AD141&lt;&gt;""),0,MAX(0,MIN(Q141,'Critérios e pesos'!$C$38*INT((TODAY()-IF(Z141&lt;&gt;"",Z141,INT($A141)))/7)))))</f>
        <v/>
      </c>
      <c r="AB141" s="14">
        <f>IF($B141="","",MAX(0,S141-AA141))</f>
        <v/>
      </c>
      <c r="AC141" s="9">
        <f>IF($B141="","",IF(T141="X","X",IF(AB141&gt;='Critérios e pesos'!$C$29,"A",IF(AB141&gt;='Critérios e pesos'!$C$30,"B","C"))))</f>
        <v/>
      </c>
      <c r="AD141" s="4" t="n"/>
      <c r="AE141" s="18" t="n"/>
      <c r="AF141" s="6" t="n"/>
      <c r="AH141">
        <f>IF($A141="","",IF(OR(WEEKDAY($A141,2)&gt;5,ROUND(MOD($A141,1)*1440,0)&gt;=ROUND('Critérios e pesos'!$C$37*1440,0)),WORKDAY(INT($A141),1)+ROUND('Critérios e pesos'!$C$36*1440,0)/1440,IF(ROUND(MOD($A141,1)*1440,0)&lt;ROUND('Critérios e pesos'!$C$36*1440,0),INT($A141)+ROUND('Critérios e pesos'!$C$36*1440,0)/1440,$A141)))</f>
        <v/>
      </c>
      <c r="AI141">
        <f>IF(AH141="","",ROUND(MOD(AH141,1)*1440,0))</f>
        <v/>
      </c>
      <c r="AJ141">
        <f>IF(T141="","",INDEX('Critérios e pesos'!$E$29:$E$32,MATCH(T141,'Critérios e pesos'!$A$29:$A$32,0)))</f>
        <v/>
      </c>
    </row>
    <row r="142">
      <c r="A142" s="13" t="n"/>
      <c r="B142" s="6" t="n"/>
      <c r="C142" s="6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6" t="n"/>
      <c r="O142" s="6" t="n"/>
      <c r="P142" s="14">
        <f>IF($B142="","",(E142="Claro")*'Critérios e pesos'!$G$5+(E142="Em parte")*'Critérios e pesos'!$G$5/2+(F142="Claro")*'Critérios e pesos'!$G$6+(F142="Em parte")*'Critérios e pesos'!$G$6/2+(G142="Claro")*'Critérios e pesos'!$G$7+(G142="Em parte")*'Critérios e pesos'!$G$7/2+(H142="Claro")*'Critérios e pesos'!$G$8+(H142="Em parte")*'Critérios e pesos'!$G$8/2)</f>
        <v/>
      </c>
      <c r="Q142" s="14">
        <f>IF($B142="","",(I142="Claro")*'Critérios e pesos'!$G$9+(I142="Em parte")*'Critérios e pesos'!$G$9/2+(J142="Claro")*'Critérios e pesos'!$G$10+(J142="Em parte")*'Critérios e pesos'!$G$10/2+(K142="Claro")*'Critérios e pesos'!$G$11+(K142="Em parte")*'Critérios e pesos'!$G$11/2+(L142="Claro")*'Critérios e pesos'!$G$12+(L142="Em parte")*'Critérios e pesos'!$G$12/2+(M142="Claro")*'Critérios e pesos'!$G$13+(M142="Em parte")*'Critérios e pesos'!$G$13/2)</f>
        <v/>
      </c>
      <c r="R142" s="14">
        <f>IF($B142="","",IFERROR(VLOOKUP(N142,'Critérios e pesos'!$B$17:$C$20,2,FALSE),0))</f>
        <v/>
      </c>
      <c r="S142" s="9">
        <f>IF($B142="","",MAX(0,P142+Q142+R142))</f>
        <v/>
      </c>
      <c r="T142" s="9">
        <f>IF($B142="","",IF(O142&lt;&gt;"","X",IF(S142&gt;='Critérios e pesos'!$C$29,"A",IF(S142&gt;='Critérios e pesos'!$C$30,"B","C"))))</f>
        <v/>
      </c>
      <c r="U142" s="14">
        <f>IF(T142="","",INDEX('Critérios e pesos'!$D$29:$D$32,MATCH(T142,'Critérios e pesos'!$A$29:$A$32,0)))</f>
        <v/>
      </c>
      <c r="V142" s="14">
        <f>IF(T142="","",INDEX('Critérios e pesos'!$F$29:$F$32,MATCH(T142,'Critérios e pesos'!$A$29:$A$32,0)))</f>
        <v/>
      </c>
      <c r="W142" s="15">
        <f>IF(OR(AH142="",AJ142=""),"",IF(AI142+AJ142*60&lt;=ROUND('Critérios e pesos'!$C$37*1440,0),INT(AH142)+(AI142+AJ142*60)/1440,WORKDAY(INT(AH142),1+INT((AI142+AJ142*60-ROUND('Critérios e pesos'!$C$37*1440,0)-1)/(ROUND('Critérios e pesos'!$C$37*1440,0)-ROUND('Critérios e pesos'!$C$36*1440,0))))+(ROUND('Critérios e pesos'!$C$36*1440,0)+AI142+AJ142*60-ROUND('Critérios e pesos'!$C$37*1440,0)-INT((AI142+AJ142*60-ROUND('Critérios e pesos'!$C$37*1440,0)-1)/(ROUND('Critérios e pesos'!$C$37*1440,0)-ROUND('Critérios e pesos'!$C$36*1440,0)))*(ROUND('Critérios e pesos'!$C$37*1440,0)-ROUND('Critérios e pesos'!$C$36*1440,0)))/1440))</f>
        <v/>
      </c>
      <c r="X142" s="16" t="n"/>
      <c r="Y142" s="14">
        <f>IF(W142="","",IF(X142="",IF(NOW()&gt;W142,"Atrasado","Em espera"),IF(X142&lt;=W142,"No prazo","Atrasado")))</f>
        <v/>
      </c>
      <c r="Z142" s="17" t="n"/>
      <c r="AA142" s="14">
        <f>IF($B142="","",IF(OR(T142="X",AD142&lt;&gt;""),0,MAX(0,MIN(Q142,'Critérios e pesos'!$C$38*INT((TODAY()-IF(Z142&lt;&gt;"",Z142,INT($A142)))/7)))))</f>
        <v/>
      </c>
      <c r="AB142" s="14">
        <f>IF($B142="","",MAX(0,S142-AA142))</f>
        <v/>
      </c>
      <c r="AC142" s="9">
        <f>IF($B142="","",IF(T142="X","X",IF(AB142&gt;='Critérios e pesos'!$C$29,"A",IF(AB142&gt;='Critérios e pesos'!$C$30,"B","C"))))</f>
        <v/>
      </c>
      <c r="AD142" s="4" t="n"/>
      <c r="AE142" s="18" t="n"/>
      <c r="AF142" s="6" t="n"/>
      <c r="AH142">
        <f>IF($A142="","",IF(OR(WEEKDAY($A142,2)&gt;5,ROUND(MOD($A142,1)*1440,0)&gt;=ROUND('Critérios e pesos'!$C$37*1440,0)),WORKDAY(INT($A142),1)+ROUND('Critérios e pesos'!$C$36*1440,0)/1440,IF(ROUND(MOD($A142,1)*1440,0)&lt;ROUND('Critérios e pesos'!$C$36*1440,0),INT($A142)+ROUND('Critérios e pesos'!$C$36*1440,0)/1440,$A142)))</f>
        <v/>
      </c>
      <c r="AI142">
        <f>IF(AH142="","",ROUND(MOD(AH142,1)*1440,0))</f>
        <v/>
      </c>
      <c r="AJ142">
        <f>IF(T142="","",INDEX('Critérios e pesos'!$E$29:$E$32,MATCH(T142,'Critérios e pesos'!$A$29:$A$32,0)))</f>
        <v/>
      </c>
    </row>
    <row r="143">
      <c r="A143" s="13" t="n"/>
      <c r="B143" s="6" t="n"/>
      <c r="C143" s="6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6" t="n"/>
      <c r="O143" s="6" t="n"/>
      <c r="P143" s="14">
        <f>IF($B143="","",(E143="Claro")*'Critérios e pesos'!$G$5+(E143="Em parte")*'Critérios e pesos'!$G$5/2+(F143="Claro")*'Critérios e pesos'!$G$6+(F143="Em parte")*'Critérios e pesos'!$G$6/2+(G143="Claro")*'Critérios e pesos'!$G$7+(G143="Em parte")*'Critérios e pesos'!$G$7/2+(H143="Claro")*'Critérios e pesos'!$G$8+(H143="Em parte")*'Critérios e pesos'!$G$8/2)</f>
        <v/>
      </c>
      <c r="Q143" s="14">
        <f>IF($B143="","",(I143="Claro")*'Critérios e pesos'!$G$9+(I143="Em parte")*'Critérios e pesos'!$G$9/2+(J143="Claro")*'Critérios e pesos'!$G$10+(J143="Em parte")*'Critérios e pesos'!$G$10/2+(K143="Claro")*'Critérios e pesos'!$G$11+(K143="Em parte")*'Critérios e pesos'!$G$11/2+(L143="Claro")*'Critérios e pesos'!$G$12+(L143="Em parte")*'Critérios e pesos'!$G$12/2+(M143="Claro")*'Critérios e pesos'!$G$13+(M143="Em parte")*'Critérios e pesos'!$G$13/2)</f>
        <v/>
      </c>
      <c r="R143" s="14">
        <f>IF($B143="","",IFERROR(VLOOKUP(N143,'Critérios e pesos'!$B$17:$C$20,2,FALSE),0))</f>
        <v/>
      </c>
      <c r="S143" s="9">
        <f>IF($B143="","",MAX(0,P143+Q143+R143))</f>
        <v/>
      </c>
      <c r="T143" s="9">
        <f>IF($B143="","",IF(O143&lt;&gt;"","X",IF(S143&gt;='Critérios e pesos'!$C$29,"A",IF(S143&gt;='Critérios e pesos'!$C$30,"B","C"))))</f>
        <v/>
      </c>
      <c r="U143" s="14">
        <f>IF(T143="","",INDEX('Critérios e pesos'!$D$29:$D$32,MATCH(T143,'Critérios e pesos'!$A$29:$A$32,0)))</f>
        <v/>
      </c>
      <c r="V143" s="14">
        <f>IF(T143="","",INDEX('Critérios e pesos'!$F$29:$F$32,MATCH(T143,'Critérios e pesos'!$A$29:$A$32,0)))</f>
        <v/>
      </c>
      <c r="W143" s="15">
        <f>IF(OR(AH143="",AJ143=""),"",IF(AI143+AJ143*60&lt;=ROUND('Critérios e pesos'!$C$37*1440,0),INT(AH143)+(AI143+AJ143*60)/1440,WORKDAY(INT(AH143),1+INT((AI143+AJ143*60-ROUND('Critérios e pesos'!$C$37*1440,0)-1)/(ROUND('Critérios e pesos'!$C$37*1440,0)-ROUND('Critérios e pesos'!$C$36*1440,0))))+(ROUND('Critérios e pesos'!$C$36*1440,0)+AI143+AJ143*60-ROUND('Critérios e pesos'!$C$37*1440,0)-INT((AI143+AJ143*60-ROUND('Critérios e pesos'!$C$37*1440,0)-1)/(ROUND('Critérios e pesos'!$C$37*1440,0)-ROUND('Critérios e pesos'!$C$36*1440,0)))*(ROUND('Critérios e pesos'!$C$37*1440,0)-ROUND('Critérios e pesos'!$C$36*1440,0)))/1440))</f>
        <v/>
      </c>
      <c r="X143" s="16" t="n"/>
      <c r="Y143" s="14">
        <f>IF(W143="","",IF(X143="",IF(NOW()&gt;W143,"Atrasado","Em espera"),IF(X143&lt;=W143,"No prazo","Atrasado")))</f>
        <v/>
      </c>
      <c r="Z143" s="17" t="n"/>
      <c r="AA143" s="14">
        <f>IF($B143="","",IF(OR(T143="X",AD143&lt;&gt;""),0,MAX(0,MIN(Q143,'Critérios e pesos'!$C$38*INT((TODAY()-IF(Z143&lt;&gt;"",Z143,INT($A143)))/7)))))</f>
        <v/>
      </c>
      <c r="AB143" s="14">
        <f>IF($B143="","",MAX(0,S143-AA143))</f>
        <v/>
      </c>
      <c r="AC143" s="9">
        <f>IF($B143="","",IF(T143="X","X",IF(AB143&gt;='Critérios e pesos'!$C$29,"A",IF(AB143&gt;='Critérios e pesos'!$C$30,"B","C"))))</f>
        <v/>
      </c>
      <c r="AD143" s="4" t="n"/>
      <c r="AE143" s="18" t="n"/>
      <c r="AF143" s="6" t="n"/>
      <c r="AH143">
        <f>IF($A143="","",IF(OR(WEEKDAY($A143,2)&gt;5,ROUND(MOD($A143,1)*1440,0)&gt;=ROUND('Critérios e pesos'!$C$37*1440,0)),WORKDAY(INT($A143),1)+ROUND('Critérios e pesos'!$C$36*1440,0)/1440,IF(ROUND(MOD($A143,1)*1440,0)&lt;ROUND('Critérios e pesos'!$C$36*1440,0),INT($A143)+ROUND('Critérios e pesos'!$C$36*1440,0)/1440,$A143)))</f>
        <v/>
      </c>
      <c r="AI143">
        <f>IF(AH143="","",ROUND(MOD(AH143,1)*1440,0))</f>
        <v/>
      </c>
      <c r="AJ143">
        <f>IF(T143="","",INDEX('Critérios e pesos'!$E$29:$E$32,MATCH(T143,'Critérios e pesos'!$A$29:$A$32,0)))</f>
        <v/>
      </c>
    </row>
    <row r="144">
      <c r="A144" s="13" t="n"/>
      <c r="B144" s="6" t="n"/>
      <c r="C144" s="6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6" t="n"/>
      <c r="O144" s="6" t="n"/>
      <c r="P144" s="14">
        <f>IF($B144="","",(E144="Claro")*'Critérios e pesos'!$G$5+(E144="Em parte")*'Critérios e pesos'!$G$5/2+(F144="Claro")*'Critérios e pesos'!$G$6+(F144="Em parte")*'Critérios e pesos'!$G$6/2+(G144="Claro")*'Critérios e pesos'!$G$7+(G144="Em parte")*'Critérios e pesos'!$G$7/2+(H144="Claro")*'Critérios e pesos'!$G$8+(H144="Em parte")*'Critérios e pesos'!$G$8/2)</f>
        <v/>
      </c>
      <c r="Q144" s="14">
        <f>IF($B144="","",(I144="Claro")*'Critérios e pesos'!$G$9+(I144="Em parte")*'Critérios e pesos'!$G$9/2+(J144="Claro")*'Critérios e pesos'!$G$10+(J144="Em parte")*'Critérios e pesos'!$G$10/2+(K144="Claro")*'Critérios e pesos'!$G$11+(K144="Em parte")*'Critérios e pesos'!$G$11/2+(L144="Claro")*'Critérios e pesos'!$G$12+(L144="Em parte")*'Critérios e pesos'!$G$12/2+(M144="Claro")*'Critérios e pesos'!$G$13+(M144="Em parte")*'Critérios e pesos'!$G$13/2)</f>
        <v/>
      </c>
      <c r="R144" s="14">
        <f>IF($B144="","",IFERROR(VLOOKUP(N144,'Critérios e pesos'!$B$17:$C$20,2,FALSE),0))</f>
        <v/>
      </c>
      <c r="S144" s="9">
        <f>IF($B144="","",MAX(0,P144+Q144+R144))</f>
        <v/>
      </c>
      <c r="T144" s="9">
        <f>IF($B144="","",IF(O144&lt;&gt;"","X",IF(S144&gt;='Critérios e pesos'!$C$29,"A",IF(S144&gt;='Critérios e pesos'!$C$30,"B","C"))))</f>
        <v/>
      </c>
      <c r="U144" s="14">
        <f>IF(T144="","",INDEX('Critérios e pesos'!$D$29:$D$32,MATCH(T144,'Critérios e pesos'!$A$29:$A$32,0)))</f>
        <v/>
      </c>
      <c r="V144" s="14">
        <f>IF(T144="","",INDEX('Critérios e pesos'!$F$29:$F$32,MATCH(T144,'Critérios e pesos'!$A$29:$A$32,0)))</f>
        <v/>
      </c>
      <c r="W144" s="15">
        <f>IF(OR(AH144="",AJ144=""),"",IF(AI144+AJ144*60&lt;=ROUND('Critérios e pesos'!$C$37*1440,0),INT(AH144)+(AI144+AJ144*60)/1440,WORKDAY(INT(AH144),1+INT((AI144+AJ144*60-ROUND('Critérios e pesos'!$C$37*1440,0)-1)/(ROUND('Critérios e pesos'!$C$37*1440,0)-ROUND('Critérios e pesos'!$C$36*1440,0))))+(ROUND('Critérios e pesos'!$C$36*1440,0)+AI144+AJ144*60-ROUND('Critérios e pesos'!$C$37*1440,0)-INT((AI144+AJ144*60-ROUND('Critérios e pesos'!$C$37*1440,0)-1)/(ROUND('Critérios e pesos'!$C$37*1440,0)-ROUND('Critérios e pesos'!$C$36*1440,0)))*(ROUND('Critérios e pesos'!$C$37*1440,0)-ROUND('Critérios e pesos'!$C$36*1440,0)))/1440))</f>
        <v/>
      </c>
      <c r="X144" s="16" t="n"/>
      <c r="Y144" s="14">
        <f>IF(W144="","",IF(X144="",IF(NOW()&gt;W144,"Atrasado","Em espera"),IF(X144&lt;=W144,"No prazo","Atrasado")))</f>
        <v/>
      </c>
      <c r="Z144" s="17" t="n"/>
      <c r="AA144" s="14">
        <f>IF($B144="","",IF(OR(T144="X",AD144&lt;&gt;""),0,MAX(0,MIN(Q144,'Critérios e pesos'!$C$38*INT((TODAY()-IF(Z144&lt;&gt;"",Z144,INT($A144)))/7)))))</f>
        <v/>
      </c>
      <c r="AB144" s="14">
        <f>IF($B144="","",MAX(0,S144-AA144))</f>
        <v/>
      </c>
      <c r="AC144" s="9">
        <f>IF($B144="","",IF(T144="X","X",IF(AB144&gt;='Critérios e pesos'!$C$29,"A",IF(AB144&gt;='Critérios e pesos'!$C$30,"B","C"))))</f>
        <v/>
      </c>
      <c r="AD144" s="4" t="n"/>
      <c r="AE144" s="18" t="n"/>
      <c r="AF144" s="6" t="n"/>
      <c r="AH144">
        <f>IF($A144="","",IF(OR(WEEKDAY($A144,2)&gt;5,ROUND(MOD($A144,1)*1440,0)&gt;=ROUND('Critérios e pesos'!$C$37*1440,0)),WORKDAY(INT($A144),1)+ROUND('Critérios e pesos'!$C$36*1440,0)/1440,IF(ROUND(MOD($A144,1)*1440,0)&lt;ROUND('Critérios e pesos'!$C$36*1440,0),INT($A144)+ROUND('Critérios e pesos'!$C$36*1440,0)/1440,$A144)))</f>
        <v/>
      </c>
      <c r="AI144">
        <f>IF(AH144="","",ROUND(MOD(AH144,1)*1440,0))</f>
        <v/>
      </c>
      <c r="AJ144">
        <f>IF(T144="","",INDEX('Critérios e pesos'!$E$29:$E$32,MATCH(T144,'Critérios e pesos'!$A$29:$A$32,0)))</f>
        <v/>
      </c>
    </row>
    <row r="145">
      <c r="A145" s="13" t="n"/>
      <c r="B145" s="6" t="n"/>
      <c r="C145" s="6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6" t="n"/>
      <c r="O145" s="6" t="n"/>
      <c r="P145" s="14">
        <f>IF($B145="","",(E145="Claro")*'Critérios e pesos'!$G$5+(E145="Em parte")*'Critérios e pesos'!$G$5/2+(F145="Claro")*'Critérios e pesos'!$G$6+(F145="Em parte")*'Critérios e pesos'!$G$6/2+(G145="Claro")*'Critérios e pesos'!$G$7+(G145="Em parte")*'Critérios e pesos'!$G$7/2+(H145="Claro")*'Critérios e pesos'!$G$8+(H145="Em parte")*'Critérios e pesos'!$G$8/2)</f>
        <v/>
      </c>
      <c r="Q145" s="14">
        <f>IF($B145="","",(I145="Claro")*'Critérios e pesos'!$G$9+(I145="Em parte")*'Critérios e pesos'!$G$9/2+(J145="Claro")*'Critérios e pesos'!$G$10+(J145="Em parte")*'Critérios e pesos'!$G$10/2+(K145="Claro")*'Critérios e pesos'!$G$11+(K145="Em parte")*'Critérios e pesos'!$G$11/2+(L145="Claro")*'Critérios e pesos'!$G$12+(L145="Em parte")*'Critérios e pesos'!$G$12/2+(M145="Claro")*'Critérios e pesos'!$G$13+(M145="Em parte")*'Critérios e pesos'!$G$13/2)</f>
        <v/>
      </c>
      <c r="R145" s="14">
        <f>IF($B145="","",IFERROR(VLOOKUP(N145,'Critérios e pesos'!$B$17:$C$20,2,FALSE),0))</f>
        <v/>
      </c>
      <c r="S145" s="9">
        <f>IF($B145="","",MAX(0,P145+Q145+R145))</f>
        <v/>
      </c>
      <c r="T145" s="9">
        <f>IF($B145="","",IF(O145&lt;&gt;"","X",IF(S145&gt;='Critérios e pesos'!$C$29,"A",IF(S145&gt;='Critérios e pesos'!$C$30,"B","C"))))</f>
        <v/>
      </c>
      <c r="U145" s="14">
        <f>IF(T145="","",INDEX('Critérios e pesos'!$D$29:$D$32,MATCH(T145,'Critérios e pesos'!$A$29:$A$32,0)))</f>
        <v/>
      </c>
      <c r="V145" s="14">
        <f>IF(T145="","",INDEX('Critérios e pesos'!$F$29:$F$32,MATCH(T145,'Critérios e pesos'!$A$29:$A$32,0)))</f>
        <v/>
      </c>
      <c r="W145" s="15">
        <f>IF(OR(AH145="",AJ145=""),"",IF(AI145+AJ145*60&lt;=ROUND('Critérios e pesos'!$C$37*1440,0),INT(AH145)+(AI145+AJ145*60)/1440,WORKDAY(INT(AH145),1+INT((AI145+AJ145*60-ROUND('Critérios e pesos'!$C$37*1440,0)-1)/(ROUND('Critérios e pesos'!$C$37*1440,0)-ROUND('Critérios e pesos'!$C$36*1440,0))))+(ROUND('Critérios e pesos'!$C$36*1440,0)+AI145+AJ145*60-ROUND('Critérios e pesos'!$C$37*1440,0)-INT((AI145+AJ145*60-ROUND('Critérios e pesos'!$C$37*1440,0)-1)/(ROUND('Critérios e pesos'!$C$37*1440,0)-ROUND('Critérios e pesos'!$C$36*1440,0)))*(ROUND('Critérios e pesos'!$C$37*1440,0)-ROUND('Critérios e pesos'!$C$36*1440,0)))/1440))</f>
        <v/>
      </c>
      <c r="X145" s="16" t="n"/>
      <c r="Y145" s="14">
        <f>IF(W145="","",IF(X145="",IF(NOW()&gt;W145,"Atrasado","Em espera"),IF(X145&lt;=W145,"No prazo","Atrasado")))</f>
        <v/>
      </c>
      <c r="Z145" s="17" t="n"/>
      <c r="AA145" s="14">
        <f>IF($B145="","",IF(OR(T145="X",AD145&lt;&gt;""),0,MAX(0,MIN(Q145,'Critérios e pesos'!$C$38*INT((TODAY()-IF(Z145&lt;&gt;"",Z145,INT($A145)))/7)))))</f>
        <v/>
      </c>
      <c r="AB145" s="14">
        <f>IF($B145="","",MAX(0,S145-AA145))</f>
        <v/>
      </c>
      <c r="AC145" s="9">
        <f>IF($B145="","",IF(T145="X","X",IF(AB145&gt;='Critérios e pesos'!$C$29,"A",IF(AB145&gt;='Critérios e pesos'!$C$30,"B","C"))))</f>
        <v/>
      </c>
      <c r="AD145" s="4" t="n"/>
      <c r="AE145" s="18" t="n"/>
      <c r="AF145" s="6" t="n"/>
      <c r="AH145">
        <f>IF($A145="","",IF(OR(WEEKDAY($A145,2)&gt;5,ROUND(MOD($A145,1)*1440,0)&gt;=ROUND('Critérios e pesos'!$C$37*1440,0)),WORKDAY(INT($A145),1)+ROUND('Critérios e pesos'!$C$36*1440,0)/1440,IF(ROUND(MOD($A145,1)*1440,0)&lt;ROUND('Critérios e pesos'!$C$36*1440,0),INT($A145)+ROUND('Critérios e pesos'!$C$36*1440,0)/1440,$A145)))</f>
        <v/>
      </c>
      <c r="AI145">
        <f>IF(AH145="","",ROUND(MOD(AH145,1)*1440,0))</f>
        <v/>
      </c>
      <c r="AJ145">
        <f>IF(T145="","",INDEX('Critérios e pesos'!$E$29:$E$32,MATCH(T145,'Critérios e pesos'!$A$29:$A$32,0)))</f>
        <v/>
      </c>
    </row>
    <row r="146">
      <c r="A146" s="13" t="n"/>
      <c r="B146" s="6" t="n"/>
      <c r="C146" s="6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6" t="n"/>
      <c r="O146" s="6" t="n"/>
      <c r="P146" s="14">
        <f>IF($B146="","",(E146="Claro")*'Critérios e pesos'!$G$5+(E146="Em parte")*'Critérios e pesos'!$G$5/2+(F146="Claro")*'Critérios e pesos'!$G$6+(F146="Em parte")*'Critérios e pesos'!$G$6/2+(G146="Claro")*'Critérios e pesos'!$G$7+(G146="Em parte")*'Critérios e pesos'!$G$7/2+(H146="Claro")*'Critérios e pesos'!$G$8+(H146="Em parte")*'Critérios e pesos'!$G$8/2)</f>
        <v/>
      </c>
      <c r="Q146" s="14">
        <f>IF($B146="","",(I146="Claro")*'Critérios e pesos'!$G$9+(I146="Em parte")*'Critérios e pesos'!$G$9/2+(J146="Claro")*'Critérios e pesos'!$G$10+(J146="Em parte")*'Critérios e pesos'!$G$10/2+(K146="Claro")*'Critérios e pesos'!$G$11+(K146="Em parte")*'Critérios e pesos'!$G$11/2+(L146="Claro")*'Critérios e pesos'!$G$12+(L146="Em parte")*'Critérios e pesos'!$G$12/2+(M146="Claro")*'Critérios e pesos'!$G$13+(M146="Em parte")*'Critérios e pesos'!$G$13/2)</f>
        <v/>
      </c>
      <c r="R146" s="14">
        <f>IF($B146="","",IFERROR(VLOOKUP(N146,'Critérios e pesos'!$B$17:$C$20,2,FALSE),0))</f>
        <v/>
      </c>
      <c r="S146" s="9">
        <f>IF($B146="","",MAX(0,P146+Q146+R146))</f>
        <v/>
      </c>
      <c r="T146" s="9">
        <f>IF($B146="","",IF(O146&lt;&gt;"","X",IF(S146&gt;='Critérios e pesos'!$C$29,"A",IF(S146&gt;='Critérios e pesos'!$C$30,"B","C"))))</f>
        <v/>
      </c>
      <c r="U146" s="14">
        <f>IF(T146="","",INDEX('Critérios e pesos'!$D$29:$D$32,MATCH(T146,'Critérios e pesos'!$A$29:$A$32,0)))</f>
        <v/>
      </c>
      <c r="V146" s="14">
        <f>IF(T146="","",INDEX('Critérios e pesos'!$F$29:$F$32,MATCH(T146,'Critérios e pesos'!$A$29:$A$32,0)))</f>
        <v/>
      </c>
      <c r="W146" s="15">
        <f>IF(OR(AH146="",AJ146=""),"",IF(AI146+AJ146*60&lt;=ROUND('Critérios e pesos'!$C$37*1440,0),INT(AH146)+(AI146+AJ146*60)/1440,WORKDAY(INT(AH146),1+INT((AI146+AJ146*60-ROUND('Critérios e pesos'!$C$37*1440,0)-1)/(ROUND('Critérios e pesos'!$C$37*1440,0)-ROUND('Critérios e pesos'!$C$36*1440,0))))+(ROUND('Critérios e pesos'!$C$36*1440,0)+AI146+AJ146*60-ROUND('Critérios e pesos'!$C$37*1440,0)-INT((AI146+AJ146*60-ROUND('Critérios e pesos'!$C$37*1440,0)-1)/(ROUND('Critérios e pesos'!$C$37*1440,0)-ROUND('Critérios e pesos'!$C$36*1440,0)))*(ROUND('Critérios e pesos'!$C$37*1440,0)-ROUND('Critérios e pesos'!$C$36*1440,0)))/1440))</f>
        <v/>
      </c>
      <c r="X146" s="16" t="n"/>
      <c r="Y146" s="14">
        <f>IF(W146="","",IF(X146="",IF(NOW()&gt;W146,"Atrasado","Em espera"),IF(X146&lt;=W146,"No prazo","Atrasado")))</f>
        <v/>
      </c>
      <c r="Z146" s="17" t="n"/>
      <c r="AA146" s="14">
        <f>IF($B146="","",IF(OR(T146="X",AD146&lt;&gt;""),0,MAX(0,MIN(Q146,'Critérios e pesos'!$C$38*INT((TODAY()-IF(Z146&lt;&gt;"",Z146,INT($A146)))/7)))))</f>
        <v/>
      </c>
      <c r="AB146" s="14">
        <f>IF($B146="","",MAX(0,S146-AA146))</f>
        <v/>
      </c>
      <c r="AC146" s="9">
        <f>IF($B146="","",IF(T146="X","X",IF(AB146&gt;='Critérios e pesos'!$C$29,"A",IF(AB146&gt;='Critérios e pesos'!$C$30,"B","C"))))</f>
        <v/>
      </c>
      <c r="AD146" s="4" t="n"/>
      <c r="AE146" s="18" t="n"/>
      <c r="AF146" s="6" t="n"/>
      <c r="AH146">
        <f>IF($A146="","",IF(OR(WEEKDAY($A146,2)&gt;5,ROUND(MOD($A146,1)*1440,0)&gt;=ROUND('Critérios e pesos'!$C$37*1440,0)),WORKDAY(INT($A146),1)+ROUND('Critérios e pesos'!$C$36*1440,0)/1440,IF(ROUND(MOD($A146,1)*1440,0)&lt;ROUND('Critérios e pesos'!$C$36*1440,0),INT($A146)+ROUND('Critérios e pesos'!$C$36*1440,0)/1440,$A146)))</f>
        <v/>
      </c>
      <c r="AI146">
        <f>IF(AH146="","",ROUND(MOD(AH146,1)*1440,0))</f>
        <v/>
      </c>
      <c r="AJ146">
        <f>IF(T146="","",INDEX('Critérios e pesos'!$E$29:$E$32,MATCH(T146,'Critérios e pesos'!$A$29:$A$32,0)))</f>
        <v/>
      </c>
    </row>
    <row r="147">
      <c r="A147" s="13" t="n"/>
      <c r="B147" s="6" t="n"/>
      <c r="C147" s="6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6" t="n"/>
      <c r="O147" s="6" t="n"/>
      <c r="P147" s="14">
        <f>IF($B147="","",(E147="Claro")*'Critérios e pesos'!$G$5+(E147="Em parte")*'Critérios e pesos'!$G$5/2+(F147="Claro")*'Critérios e pesos'!$G$6+(F147="Em parte")*'Critérios e pesos'!$G$6/2+(G147="Claro")*'Critérios e pesos'!$G$7+(G147="Em parte")*'Critérios e pesos'!$G$7/2+(H147="Claro")*'Critérios e pesos'!$G$8+(H147="Em parte")*'Critérios e pesos'!$G$8/2)</f>
        <v/>
      </c>
      <c r="Q147" s="14">
        <f>IF($B147="","",(I147="Claro")*'Critérios e pesos'!$G$9+(I147="Em parte")*'Critérios e pesos'!$G$9/2+(J147="Claro")*'Critérios e pesos'!$G$10+(J147="Em parte")*'Critérios e pesos'!$G$10/2+(K147="Claro")*'Critérios e pesos'!$G$11+(K147="Em parte")*'Critérios e pesos'!$G$11/2+(L147="Claro")*'Critérios e pesos'!$G$12+(L147="Em parte")*'Critérios e pesos'!$G$12/2+(M147="Claro")*'Critérios e pesos'!$G$13+(M147="Em parte")*'Critérios e pesos'!$G$13/2)</f>
        <v/>
      </c>
      <c r="R147" s="14">
        <f>IF($B147="","",IFERROR(VLOOKUP(N147,'Critérios e pesos'!$B$17:$C$20,2,FALSE),0))</f>
        <v/>
      </c>
      <c r="S147" s="9">
        <f>IF($B147="","",MAX(0,P147+Q147+R147))</f>
        <v/>
      </c>
      <c r="T147" s="9">
        <f>IF($B147="","",IF(O147&lt;&gt;"","X",IF(S147&gt;='Critérios e pesos'!$C$29,"A",IF(S147&gt;='Critérios e pesos'!$C$30,"B","C"))))</f>
        <v/>
      </c>
      <c r="U147" s="14">
        <f>IF(T147="","",INDEX('Critérios e pesos'!$D$29:$D$32,MATCH(T147,'Critérios e pesos'!$A$29:$A$32,0)))</f>
        <v/>
      </c>
      <c r="V147" s="14">
        <f>IF(T147="","",INDEX('Critérios e pesos'!$F$29:$F$32,MATCH(T147,'Critérios e pesos'!$A$29:$A$32,0)))</f>
        <v/>
      </c>
      <c r="W147" s="15">
        <f>IF(OR(AH147="",AJ147=""),"",IF(AI147+AJ147*60&lt;=ROUND('Critérios e pesos'!$C$37*1440,0),INT(AH147)+(AI147+AJ147*60)/1440,WORKDAY(INT(AH147),1+INT((AI147+AJ147*60-ROUND('Critérios e pesos'!$C$37*1440,0)-1)/(ROUND('Critérios e pesos'!$C$37*1440,0)-ROUND('Critérios e pesos'!$C$36*1440,0))))+(ROUND('Critérios e pesos'!$C$36*1440,0)+AI147+AJ147*60-ROUND('Critérios e pesos'!$C$37*1440,0)-INT((AI147+AJ147*60-ROUND('Critérios e pesos'!$C$37*1440,0)-1)/(ROUND('Critérios e pesos'!$C$37*1440,0)-ROUND('Critérios e pesos'!$C$36*1440,0)))*(ROUND('Critérios e pesos'!$C$37*1440,0)-ROUND('Critérios e pesos'!$C$36*1440,0)))/1440))</f>
        <v/>
      </c>
      <c r="X147" s="16" t="n"/>
      <c r="Y147" s="14">
        <f>IF(W147="","",IF(X147="",IF(NOW()&gt;W147,"Atrasado","Em espera"),IF(X147&lt;=W147,"No prazo","Atrasado")))</f>
        <v/>
      </c>
      <c r="Z147" s="17" t="n"/>
      <c r="AA147" s="14">
        <f>IF($B147="","",IF(OR(T147="X",AD147&lt;&gt;""),0,MAX(0,MIN(Q147,'Critérios e pesos'!$C$38*INT((TODAY()-IF(Z147&lt;&gt;"",Z147,INT($A147)))/7)))))</f>
        <v/>
      </c>
      <c r="AB147" s="14">
        <f>IF($B147="","",MAX(0,S147-AA147))</f>
        <v/>
      </c>
      <c r="AC147" s="9">
        <f>IF($B147="","",IF(T147="X","X",IF(AB147&gt;='Critérios e pesos'!$C$29,"A",IF(AB147&gt;='Critérios e pesos'!$C$30,"B","C"))))</f>
        <v/>
      </c>
      <c r="AD147" s="4" t="n"/>
      <c r="AE147" s="18" t="n"/>
      <c r="AF147" s="6" t="n"/>
      <c r="AH147">
        <f>IF($A147="","",IF(OR(WEEKDAY($A147,2)&gt;5,ROUND(MOD($A147,1)*1440,0)&gt;=ROUND('Critérios e pesos'!$C$37*1440,0)),WORKDAY(INT($A147),1)+ROUND('Critérios e pesos'!$C$36*1440,0)/1440,IF(ROUND(MOD($A147,1)*1440,0)&lt;ROUND('Critérios e pesos'!$C$36*1440,0),INT($A147)+ROUND('Critérios e pesos'!$C$36*1440,0)/1440,$A147)))</f>
        <v/>
      </c>
      <c r="AI147">
        <f>IF(AH147="","",ROUND(MOD(AH147,1)*1440,0))</f>
        <v/>
      </c>
      <c r="AJ147">
        <f>IF(T147="","",INDEX('Critérios e pesos'!$E$29:$E$32,MATCH(T147,'Critérios e pesos'!$A$29:$A$32,0)))</f>
        <v/>
      </c>
    </row>
    <row r="148">
      <c r="A148" s="13" t="n"/>
      <c r="B148" s="6" t="n"/>
      <c r="C148" s="6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6" t="n"/>
      <c r="O148" s="6" t="n"/>
      <c r="P148" s="14">
        <f>IF($B148="","",(E148="Claro")*'Critérios e pesos'!$G$5+(E148="Em parte")*'Critérios e pesos'!$G$5/2+(F148="Claro")*'Critérios e pesos'!$G$6+(F148="Em parte")*'Critérios e pesos'!$G$6/2+(G148="Claro")*'Critérios e pesos'!$G$7+(G148="Em parte")*'Critérios e pesos'!$G$7/2+(H148="Claro")*'Critérios e pesos'!$G$8+(H148="Em parte")*'Critérios e pesos'!$G$8/2)</f>
        <v/>
      </c>
      <c r="Q148" s="14">
        <f>IF($B148="","",(I148="Claro")*'Critérios e pesos'!$G$9+(I148="Em parte")*'Critérios e pesos'!$G$9/2+(J148="Claro")*'Critérios e pesos'!$G$10+(J148="Em parte")*'Critérios e pesos'!$G$10/2+(K148="Claro")*'Critérios e pesos'!$G$11+(K148="Em parte")*'Critérios e pesos'!$G$11/2+(L148="Claro")*'Critérios e pesos'!$G$12+(L148="Em parte")*'Critérios e pesos'!$G$12/2+(M148="Claro")*'Critérios e pesos'!$G$13+(M148="Em parte")*'Critérios e pesos'!$G$13/2)</f>
        <v/>
      </c>
      <c r="R148" s="14">
        <f>IF($B148="","",IFERROR(VLOOKUP(N148,'Critérios e pesos'!$B$17:$C$20,2,FALSE),0))</f>
        <v/>
      </c>
      <c r="S148" s="9">
        <f>IF($B148="","",MAX(0,P148+Q148+R148))</f>
        <v/>
      </c>
      <c r="T148" s="9">
        <f>IF($B148="","",IF(O148&lt;&gt;"","X",IF(S148&gt;='Critérios e pesos'!$C$29,"A",IF(S148&gt;='Critérios e pesos'!$C$30,"B","C"))))</f>
        <v/>
      </c>
      <c r="U148" s="14">
        <f>IF(T148="","",INDEX('Critérios e pesos'!$D$29:$D$32,MATCH(T148,'Critérios e pesos'!$A$29:$A$32,0)))</f>
        <v/>
      </c>
      <c r="V148" s="14">
        <f>IF(T148="","",INDEX('Critérios e pesos'!$F$29:$F$32,MATCH(T148,'Critérios e pesos'!$A$29:$A$32,0)))</f>
        <v/>
      </c>
      <c r="W148" s="15">
        <f>IF(OR(AH148="",AJ148=""),"",IF(AI148+AJ148*60&lt;=ROUND('Critérios e pesos'!$C$37*1440,0),INT(AH148)+(AI148+AJ148*60)/1440,WORKDAY(INT(AH148),1+INT((AI148+AJ148*60-ROUND('Critérios e pesos'!$C$37*1440,0)-1)/(ROUND('Critérios e pesos'!$C$37*1440,0)-ROUND('Critérios e pesos'!$C$36*1440,0))))+(ROUND('Critérios e pesos'!$C$36*1440,0)+AI148+AJ148*60-ROUND('Critérios e pesos'!$C$37*1440,0)-INT((AI148+AJ148*60-ROUND('Critérios e pesos'!$C$37*1440,0)-1)/(ROUND('Critérios e pesos'!$C$37*1440,0)-ROUND('Critérios e pesos'!$C$36*1440,0)))*(ROUND('Critérios e pesos'!$C$37*1440,0)-ROUND('Critérios e pesos'!$C$36*1440,0)))/1440))</f>
        <v/>
      </c>
      <c r="X148" s="16" t="n"/>
      <c r="Y148" s="14">
        <f>IF(W148="","",IF(X148="",IF(NOW()&gt;W148,"Atrasado","Em espera"),IF(X148&lt;=W148,"No prazo","Atrasado")))</f>
        <v/>
      </c>
      <c r="Z148" s="17" t="n"/>
      <c r="AA148" s="14">
        <f>IF($B148="","",IF(OR(T148="X",AD148&lt;&gt;""),0,MAX(0,MIN(Q148,'Critérios e pesos'!$C$38*INT((TODAY()-IF(Z148&lt;&gt;"",Z148,INT($A148)))/7)))))</f>
        <v/>
      </c>
      <c r="AB148" s="14">
        <f>IF($B148="","",MAX(0,S148-AA148))</f>
        <v/>
      </c>
      <c r="AC148" s="9">
        <f>IF($B148="","",IF(T148="X","X",IF(AB148&gt;='Critérios e pesos'!$C$29,"A",IF(AB148&gt;='Critérios e pesos'!$C$30,"B","C"))))</f>
        <v/>
      </c>
      <c r="AD148" s="4" t="n"/>
      <c r="AE148" s="18" t="n"/>
      <c r="AF148" s="6" t="n"/>
      <c r="AH148">
        <f>IF($A148="","",IF(OR(WEEKDAY($A148,2)&gt;5,ROUND(MOD($A148,1)*1440,0)&gt;=ROUND('Critérios e pesos'!$C$37*1440,0)),WORKDAY(INT($A148),1)+ROUND('Critérios e pesos'!$C$36*1440,0)/1440,IF(ROUND(MOD($A148,1)*1440,0)&lt;ROUND('Critérios e pesos'!$C$36*1440,0),INT($A148)+ROUND('Critérios e pesos'!$C$36*1440,0)/1440,$A148)))</f>
        <v/>
      </c>
      <c r="AI148">
        <f>IF(AH148="","",ROUND(MOD(AH148,1)*1440,0))</f>
        <v/>
      </c>
      <c r="AJ148">
        <f>IF(T148="","",INDEX('Critérios e pesos'!$E$29:$E$32,MATCH(T148,'Critérios e pesos'!$A$29:$A$32,0)))</f>
        <v/>
      </c>
    </row>
    <row r="149">
      <c r="A149" s="13" t="n"/>
      <c r="B149" s="6" t="n"/>
      <c r="C149" s="6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6" t="n"/>
      <c r="O149" s="6" t="n"/>
      <c r="P149" s="14">
        <f>IF($B149="","",(E149="Claro")*'Critérios e pesos'!$G$5+(E149="Em parte")*'Critérios e pesos'!$G$5/2+(F149="Claro")*'Critérios e pesos'!$G$6+(F149="Em parte")*'Critérios e pesos'!$G$6/2+(G149="Claro")*'Critérios e pesos'!$G$7+(G149="Em parte")*'Critérios e pesos'!$G$7/2+(H149="Claro")*'Critérios e pesos'!$G$8+(H149="Em parte")*'Critérios e pesos'!$G$8/2)</f>
        <v/>
      </c>
      <c r="Q149" s="14">
        <f>IF($B149="","",(I149="Claro")*'Critérios e pesos'!$G$9+(I149="Em parte")*'Critérios e pesos'!$G$9/2+(J149="Claro")*'Critérios e pesos'!$G$10+(J149="Em parte")*'Critérios e pesos'!$G$10/2+(K149="Claro")*'Critérios e pesos'!$G$11+(K149="Em parte")*'Critérios e pesos'!$G$11/2+(L149="Claro")*'Critérios e pesos'!$G$12+(L149="Em parte")*'Critérios e pesos'!$G$12/2+(M149="Claro")*'Critérios e pesos'!$G$13+(M149="Em parte")*'Critérios e pesos'!$G$13/2)</f>
        <v/>
      </c>
      <c r="R149" s="14">
        <f>IF($B149="","",IFERROR(VLOOKUP(N149,'Critérios e pesos'!$B$17:$C$20,2,FALSE),0))</f>
        <v/>
      </c>
      <c r="S149" s="9">
        <f>IF($B149="","",MAX(0,P149+Q149+R149))</f>
        <v/>
      </c>
      <c r="T149" s="9">
        <f>IF($B149="","",IF(O149&lt;&gt;"","X",IF(S149&gt;='Critérios e pesos'!$C$29,"A",IF(S149&gt;='Critérios e pesos'!$C$30,"B","C"))))</f>
        <v/>
      </c>
      <c r="U149" s="14">
        <f>IF(T149="","",INDEX('Critérios e pesos'!$D$29:$D$32,MATCH(T149,'Critérios e pesos'!$A$29:$A$32,0)))</f>
        <v/>
      </c>
      <c r="V149" s="14">
        <f>IF(T149="","",INDEX('Critérios e pesos'!$F$29:$F$32,MATCH(T149,'Critérios e pesos'!$A$29:$A$32,0)))</f>
        <v/>
      </c>
      <c r="W149" s="15">
        <f>IF(OR(AH149="",AJ149=""),"",IF(AI149+AJ149*60&lt;=ROUND('Critérios e pesos'!$C$37*1440,0),INT(AH149)+(AI149+AJ149*60)/1440,WORKDAY(INT(AH149),1+INT((AI149+AJ149*60-ROUND('Critérios e pesos'!$C$37*1440,0)-1)/(ROUND('Critérios e pesos'!$C$37*1440,0)-ROUND('Critérios e pesos'!$C$36*1440,0))))+(ROUND('Critérios e pesos'!$C$36*1440,0)+AI149+AJ149*60-ROUND('Critérios e pesos'!$C$37*1440,0)-INT((AI149+AJ149*60-ROUND('Critérios e pesos'!$C$37*1440,0)-1)/(ROUND('Critérios e pesos'!$C$37*1440,0)-ROUND('Critérios e pesos'!$C$36*1440,0)))*(ROUND('Critérios e pesos'!$C$37*1440,0)-ROUND('Critérios e pesos'!$C$36*1440,0)))/1440))</f>
        <v/>
      </c>
      <c r="X149" s="16" t="n"/>
      <c r="Y149" s="14">
        <f>IF(W149="","",IF(X149="",IF(NOW()&gt;W149,"Atrasado","Em espera"),IF(X149&lt;=W149,"No prazo","Atrasado")))</f>
        <v/>
      </c>
      <c r="Z149" s="17" t="n"/>
      <c r="AA149" s="14">
        <f>IF($B149="","",IF(OR(T149="X",AD149&lt;&gt;""),0,MAX(0,MIN(Q149,'Critérios e pesos'!$C$38*INT((TODAY()-IF(Z149&lt;&gt;"",Z149,INT($A149)))/7)))))</f>
        <v/>
      </c>
      <c r="AB149" s="14">
        <f>IF($B149="","",MAX(0,S149-AA149))</f>
        <v/>
      </c>
      <c r="AC149" s="9">
        <f>IF($B149="","",IF(T149="X","X",IF(AB149&gt;='Critérios e pesos'!$C$29,"A",IF(AB149&gt;='Critérios e pesos'!$C$30,"B","C"))))</f>
        <v/>
      </c>
      <c r="AD149" s="4" t="n"/>
      <c r="AE149" s="18" t="n"/>
      <c r="AF149" s="6" t="n"/>
      <c r="AH149">
        <f>IF($A149="","",IF(OR(WEEKDAY($A149,2)&gt;5,ROUND(MOD($A149,1)*1440,0)&gt;=ROUND('Critérios e pesos'!$C$37*1440,0)),WORKDAY(INT($A149),1)+ROUND('Critérios e pesos'!$C$36*1440,0)/1440,IF(ROUND(MOD($A149,1)*1440,0)&lt;ROUND('Critérios e pesos'!$C$36*1440,0),INT($A149)+ROUND('Critérios e pesos'!$C$36*1440,0)/1440,$A149)))</f>
        <v/>
      </c>
      <c r="AI149">
        <f>IF(AH149="","",ROUND(MOD(AH149,1)*1440,0))</f>
        <v/>
      </c>
      <c r="AJ149">
        <f>IF(T149="","",INDEX('Critérios e pesos'!$E$29:$E$32,MATCH(T149,'Critérios e pesos'!$A$29:$A$32,0)))</f>
        <v/>
      </c>
    </row>
    <row r="150">
      <c r="A150" s="13" t="n"/>
      <c r="B150" s="6" t="n"/>
      <c r="C150" s="6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6" t="n"/>
      <c r="O150" s="6" t="n"/>
      <c r="P150" s="14">
        <f>IF($B150="","",(E150="Claro")*'Critérios e pesos'!$G$5+(E150="Em parte")*'Critérios e pesos'!$G$5/2+(F150="Claro")*'Critérios e pesos'!$G$6+(F150="Em parte")*'Critérios e pesos'!$G$6/2+(G150="Claro")*'Critérios e pesos'!$G$7+(G150="Em parte")*'Critérios e pesos'!$G$7/2+(H150="Claro")*'Critérios e pesos'!$G$8+(H150="Em parte")*'Critérios e pesos'!$G$8/2)</f>
        <v/>
      </c>
      <c r="Q150" s="14">
        <f>IF($B150="","",(I150="Claro")*'Critérios e pesos'!$G$9+(I150="Em parte")*'Critérios e pesos'!$G$9/2+(J150="Claro")*'Critérios e pesos'!$G$10+(J150="Em parte")*'Critérios e pesos'!$G$10/2+(K150="Claro")*'Critérios e pesos'!$G$11+(K150="Em parte")*'Critérios e pesos'!$G$11/2+(L150="Claro")*'Critérios e pesos'!$G$12+(L150="Em parte")*'Critérios e pesos'!$G$12/2+(M150="Claro")*'Critérios e pesos'!$G$13+(M150="Em parte")*'Critérios e pesos'!$G$13/2)</f>
        <v/>
      </c>
      <c r="R150" s="14">
        <f>IF($B150="","",IFERROR(VLOOKUP(N150,'Critérios e pesos'!$B$17:$C$20,2,FALSE),0))</f>
        <v/>
      </c>
      <c r="S150" s="9">
        <f>IF($B150="","",MAX(0,P150+Q150+R150))</f>
        <v/>
      </c>
      <c r="T150" s="9">
        <f>IF($B150="","",IF(O150&lt;&gt;"","X",IF(S150&gt;='Critérios e pesos'!$C$29,"A",IF(S150&gt;='Critérios e pesos'!$C$30,"B","C"))))</f>
        <v/>
      </c>
      <c r="U150" s="14">
        <f>IF(T150="","",INDEX('Critérios e pesos'!$D$29:$D$32,MATCH(T150,'Critérios e pesos'!$A$29:$A$32,0)))</f>
        <v/>
      </c>
      <c r="V150" s="14">
        <f>IF(T150="","",INDEX('Critérios e pesos'!$F$29:$F$32,MATCH(T150,'Critérios e pesos'!$A$29:$A$32,0)))</f>
        <v/>
      </c>
      <c r="W150" s="15">
        <f>IF(OR(AH150="",AJ150=""),"",IF(AI150+AJ150*60&lt;=ROUND('Critérios e pesos'!$C$37*1440,0),INT(AH150)+(AI150+AJ150*60)/1440,WORKDAY(INT(AH150),1+INT((AI150+AJ150*60-ROUND('Critérios e pesos'!$C$37*1440,0)-1)/(ROUND('Critérios e pesos'!$C$37*1440,0)-ROUND('Critérios e pesos'!$C$36*1440,0))))+(ROUND('Critérios e pesos'!$C$36*1440,0)+AI150+AJ150*60-ROUND('Critérios e pesos'!$C$37*1440,0)-INT((AI150+AJ150*60-ROUND('Critérios e pesos'!$C$37*1440,0)-1)/(ROUND('Critérios e pesos'!$C$37*1440,0)-ROUND('Critérios e pesos'!$C$36*1440,0)))*(ROUND('Critérios e pesos'!$C$37*1440,0)-ROUND('Critérios e pesos'!$C$36*1440,0)))/1440))</f>
        <v/>
      </c>
      <c r="X150" s="16" t="n"/>
      <c r="Y150" s="14">
        <f>IF(W150="","",IF(X150="",IF(NOW()&gt;W150,"Atrasado","Em espera"),IF(X150&lt;=W150,"No prazo","Atrasado")))</f>
        <v/>
      </c>
      <c r="Z150" s="17" t="n"/>
      <c r="AA150" s="14">
        <f>IF($B150="","",IF(OR(T150="X",AD150&lt;&gt;""),0,MAX(0,MIN(Q150,'Critérios e pesos'!$C$38*INT((TODAY()-IF(Z150&lt;&gt;"",Z150,INT($A150)))/7)))))</f>
        <v/>
      </c>
      <c r="AB150" s="14">
        <f>IF($B150="","",MAX(0,S150-AA150))</f>
        <v/>
      </c>
      <c r="AC150" s="9">
        <f>IF($B150="","",IF(T150="X","X",IF(AB150&gt;='Critérios e pesos'!$C$29,"A",IF(AB150&gt;='Critérios e pesos'!$C$30,"B","C"))))</f>
        <v/>
      </c>
      <c r="AD150" s="4" t="n"/>
      <c r="AE150" s="18" t="n"/>
      <c r="AF150" s="6" t="n"/>
      <c r="AH150">
        <f>IF($A150="","",IF(OR(WEEKDAY($A150,2)&gt;5,ROUND(MOD($A150,1)*1440,0)&gt;=ROUND('Critérios e pesos'!$C$37*1440,0)),WORKDAY(INT($A150),1)+ROUND('Critérios e pesos'!$C$36*1440,0)/1440,IF(ROUND(MOD($A150,1)*1440,0)&lt;ROUND('Critérios e pesos'!$C$36*1440,0),INT($A150)+ROUND('Critérios e pesos'!$C$36*1440,0)/1440,$A150)))</f>
        <v/>
      </c>
      <c r="AI150">
        <f>IF(AH150="","",ROUND(MOD(AH150,1)*1440,0))</f>
        <v/>
      </c>
      <c r="AJ150">
        <f>IF(T150="","",INDEX('Critérios e pesos'!$E$29:$E$32,MATCH(T150,'Critérios e pesos'!$A$29:$A$32,0)))</f>
        <v/>
      </c>
    </row>
    <row r="151">
      <c r="A151" s="13" t="n"/>
      <c r="B151" s="6" t="n"/>
      <c r="C151" s="6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6" t="n"/>
      <c r="O151" s="6" t="n"/>
      <c r="P151" s="14">
        <f>IF($B151="","",(E151="Claro")*'Critérios e pesos'!$G$5+(E151="Em parte")*'Critérios e pesos'!$G$5/2+(F151="Claro")*'Critérios e pesos'!$G$6+(F151="Em parte")*'Critérios e pesos'!$G$6/2+(G151="Claro")*'Critérios e pesos'!$G$7+(G151="Em parte")*'Critérios e pesos'!$G$7/2+(H151="Claro")*'Critérios e pesos'!$G$8+(H151="Em parte")*'Critérios e pesos'!$G$8/2)</f>
        <v/>
      </c>
      <c r="Q151" s="14">
        <f>IF($B151="","",(I151="Claro")*'Critérios e pesos'!$G$9+(I151="Em parte")*'Critérios e pesos'!$G$9/2+(J151="Claro")*'Critérios e pesos'!$G$10+(J151="Em parte")*'Critérios e pesos'!$G$10/2+(K151="Claro")*'Critérios e pesos'!$G$11+(K151="Em parte")*'Critérios e pesos'!$G$11/2+(L151="Claro")*'Critérios e pesos'!$G$12+(L151="Em parte")*'Critérios e pesos'!$G$12/2+(M151="Claro")*'Critérios e pesos'!$G$13+(M151="Em parte")*'Critérios e pesos'!$G$13/2)</f>
        <v/>
      </c>
      <c r="R151" s="14">
        <f>IF($B151="","",IFERROR(VLOOKUP(N151,'Critérios e pesos'!$B$17:$C$20,2,FALSE),0))</f>
        <v/>
      </c>
      <c r="S151" s="9">
        <f>IF($B151="","",MAX(0,P151+Q151+R151))</f>
        <v/>
      </c>
      <c r="T151" s="9">
        <f>IF($B151="","",IF(O151&lt;&gt;"","X",IF(S151&gt;='Critérios e pesos'!$C$29,"A",IF(S151&gt;='Critérios e pesos'!$C$30,"B","C"))))</f>
        <v/>
      </c>
      <c r="U151" s="14">
        <f>IF(T151="","",INDEX('Critérios e pesos'!$D$29:$D$32,MATCH(T151,'Critérios e pesos'!$A$29:$A$32,0)))</f>
        <v/>
      </c>
      <c r="V151" s="14">
        <f>IF(T151="","",INDEX('Critérios e pesos'!$F$29:$F$32,MATCH(T151,'Critérios e pesos'!$A$29:$A$32,0)))</f>
        <v/>
      </c>
      <c r="W151" s="15">
        <f>IF(OR(AH151="",AJ151=""),"",IF(AI151+AJ151*60&lt;=ROUND('Critérios e pesos'!$C$37*1440,0),INT(AH151)+(AI151+AJ151*60)/1440,WORKDAY(INT(AH151),1+INT((AI151+AJ151*60-ROUND('Critérios e pesos'!$C$37*1440,0)-1)/(ROUND('Critérios e pesos'!$C$37*1440,0)-ROUND('Critérios e pesos'!$C$36*1440,0))))+(ROUND('Critérios e pesos'!$C$36*1440,0)+AI151+AJ151*60-ROUND('Critérios e pesos'!$C$37*1440,0)-INT((AI151+AJ151*60-ROUND('Critérios e pesos'!$C$37*1440,0)-1)/(ROUND('Critérios e pesos'!$C$37*1440,0)-ROUND('Critérios e pesos'!$C$36*1440,0)))*(ROUND('Critérios e pesos'!$C$37*1440,0)-ROUND('Critérios e pesos'!$C$36*1440,0)))/1440))</f>
        <v/>
      </c>
      <c r="X151" s="16" t="n"/>
      <c r="Y151" s="14">
        <f>IF(W151="","",IF(X151="",IF(NOW()&gt;W151,"Atrasado","Em espera"),IF(X151&lt;=W151,"No prazo","Atrasado")))</f>
        <v/>
      </c>
      <c r="Z151" s="17" t="n"/>
      <c r="AA151" s="14">
        <f>IF($B151="","",IF(OR(T151="X",AD151&lt;&gt;""),0,MAX(0,MIN(Q151,'Critérios e pesos'!$C$38*INT((TODAY()-IF(Z151&lt;&gt;"",Z151,INT($A151)))/7)))))</f>
        <v/>
      </c>
      <c r="AB151" s="14">
        <f>IF($B151="","",MAX(0,S151-AA151))</f>
        <v/>
      </c>
      <c r="AC151" s="9">
        <f>IF($B151="","",IF(T151="X","X",IF(AB151&gt;='Critérios e pesos'!$C$29,"A",IF(AB151&gt;='Critérios e pesos'!$C$30,"B","C"))))</f>
        <v/>
      </c>
      <c r="AD151" s="4" t="n"/>
      <c r="AE151" s="18" t="n"/>
      <c r="AF151" s="6" t="n"/>
      <c r="AH151">
        <f>IF($A151="","",IF(OR(WEEKDAY($A151,2)&gt;5,ROUND(MOD($A151,1)*1440,0)&gt;=ROUND('Critérios e pesos'!$C$37*1440,0)),WORKDAY(INT($A151),1)+ROUND('Critérios e pesos'!$C$36*1440,0)/1440,IF(ROUND(MOD($A151,1)*1440,0)&lt;ROUND('Critérios e pesos'!$C$36*1440,0),INT($A151)+ROUND('Critérios e pesos'!$C$36*1440,0)/1440,$A151)))</f>
        <v/>
      </c>
      <c r="AI151">
        <f>IF(AH151="","",ROUND(MOD(AH151,1)*1440,0))</f>
        <v/>
      </c>
      <c r="AJ151">
        <f>IF(T151="","",INDEX('Critérios e pesos'!$E$29:$E$32,MATCH(T151,'Critérios e pesos'!$A$29:$A$32,0)))</f>
        <v/>
      </c>
    </row>
    <row r="152">
      <c r="A152" s="13" t="n"/>
      <c r="B152" s="6" t="n"/>
      <c r="C152" s="6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6" t="n"/>
      <c r="O152" s="6" t="n"/>
      <c r="P152" s="14">
        <f>IF($B152="","",(E152="Claro")*'Critérios e pesos'!$G$5+(E152="Em parte")*'Critérios e pesos'!$G$5/2+(F152="Claro")*'Critérios e pesos'!$G$6+(F152="Em parte")*'Critérios e pesos'!$G$6/2+(G152="Claro")*'Critérios e pesos'!$G$7+(G152="Em parte")*'Critérios e pesos'!$G$7/2+(H152="Claro")*'Critérios e pesos'!$G$8+(H152="Em parte")*'Critérios e pesos'!$G$8/2)</f>
        <v/>
      </c>
      <c r="Q152" s="14">
        <f>IF($B152="","",(I152="Claro")*'Critérios e pesos'!$G$9+(I152="Em parte")*'Critérios e pesos'!$G$9/2+(J152="Claro")*'Critérios e pesos'!$G$10+(J152="Em parte")*'Critérios e pesos'!$G$10/2+(K152="Claro")*'Critérios e pesos'!$G$11+(K152="Em parte")*'Critérios e pesos'!$G$11/2+(L152="Claro")*'Critérios e pesos'!$G$12+(L152="Em parte")*'Critérios e pesos'!$G$12/2+(M152="Claro")*'Critérios e pesos'!$G$13+(M152="Em parte")*'Critérios e pesos'!$G$13/2)</f>
        <v/>
      </c>
      <c r="R152" s="14">
        <f>IF($B152="","",IFERROR(VLOOKUP(N152,'Critérios e pesos'!$B$17:$C$20,2,FALSE),0))</f>
        <v/>
      </c>
      <c r="S152" s="9">
        <f>IF($B152="","",MAX(0,P152+Q152+R152))</f>
        <v/>
      </c>
      <c r="T152" s="9">
        <f>IF($B152="","",IF(O152&lt;&gt;"","X",IF(S152&gt;='Critérios e pesos'!$C$29,"A",IF(S152&gt;='Critérios e pesos'!$C$30,"B","C"))))</f>
        <v/>
      </c>
      <c r="U152" s="14">
        <f>IF(T152="","",INDEX('Critérios e pesos'!$D$29:$D$32,MATCH(T152,'Critérios e pesos'!$A$29:$A$32,0)))</f>
        <v/>
      </c>
      <c r="V152" s="14">
        <f>IF(T152="","",INDEX('Critérios e pesos'!$F$29:$F$32,MATCH(T152,'Critérios e pesos'!$A$29:$A$32,0)))</f>
        <v/>
      </c>
      <c r="W152" s="15">
        <f>IF(OR(AH152="",AJ152=""),"",IF(AI152+AJ152*60&lt;=ROUND('Critérios e pesos'!$C$37*1440,0),INT(AH152)+(AI152+AJ152*60)/1440,WORKDAY(INT(AH152),1+INT((AI152+AJ152*60-ROUND('Critérios e pesos'!$C$37*1440,0)-1)/(ROUND('Critérios e pesos'!$C$37*1440,0)-ROUND('Critérios e pesos'!$C$36*1440,0))))+(ROUND('Critérios e pesos'!$C$36*1440,0)+AI152+AJ152*60-ROUND('Critérios e pesos'!$C$37*1440,0)-INT((AI152+AJ152*60-ROUND('Critérios e pesos'!$C$37*1440,0)-1)/(ROUND('Critérios e pesos'!$C$37*1440,0)-ROUND('Critérios e pesos'!$C$36*1440,0)))*(ROUND('Critérios e pesos'!$C$37*1440,0)-ROUND('Critérios e pesos'!$C$36*1440,0)))/1440))</f>
        <v/>
      </c>
      <c r="X152" s="16" t="n"/>
      <c r="Y152" s="14">
        <f>IF(W152="","",IF(X152="",IF(NOW()&gt;W152,"Atrasado","Em espera"),IF(X152&lt;=W152,"No prazo","Atrasado")))</f>
        <v/>
      </c>
      <c r="Z152" s="17" t="n"/>
      <c r="AA152" s="14">
        <f>IF($B152="","",IF(OR(T152="X",AD152&lt;&gt;""),0,MAX(0,MIN(Q152,'Critérios e pesos'!$C$38*INT((TODAY()-IF(Z152&lt;&gt;"",Z152,INT($A152)))/7)))))</f>
        <v/>
      </c>
      <c r="AB152" s="14">
        <f>IF($B152="","",MAX(0,S152-AA152))</f>
        <v/>
      </c>
      <c r="AC152" s="9">
        <f>IF($B152="","",IF(T152="X","X",IF(AB152&gt;='Critérios e pesos'!$C$29,"A",IF(AB152&gt;='Critérios e pesos'!$C$30,"B","C"))))</f>
        <v/>
      </c>
      <c r="AD152" s="4" t="n"/>
      <c r="AE152" s="18" t="n"/>
      <c r="AF152" s="6" t="n"/>
      <c r="AH152">
        <f>IF($A152="","",IF(OR(WEEKDAY($A152,2)&gt;5,ROUND(MOD($A152,1)*1440,0)&gt;=ROUND('Critérios e pesos'!$C$37*1440,0)),WORKDAY(INT($A152),1)+ROUND('Critérios e pesos'!$C$36*1440,0)/1440,IF(ROUND(MOD($A152,1)*1440,0)&lt;ROUND('Critérios e pesos'!$C$36*1440,0),INT($A152)+ROUND('Critérios e pesos'!$C$36*1440,0)/1440,$A152)))</f>
        <v/>
      </c>
      <c r="AI152">
        <f>IF(AH152="","",ROUND(MOD(AH152,1)*1440,0))</f>
        <v/>
      </c>
      <c r="AJ152">
        <f>IF(T152="","",INDEX('Critérios e pesos'!$E$29:$E$32,MATCH(T152,'Critérios e pesos'!$A$29:$A$32,0)))</f>
        <v/>
      </c>
    </row>
    <row r="153">
      <c r="A153" s="13" t="n"/>
      <c r="B153" s="6" t="n"/>
      <c r="C153" s="6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6" t="n"/>
      <c r="O153" s="6" t="n"/>
      <c r="P153" s="14">
        <f>IF($B153="","",(E153="Claro")*'Critérios e pesos'!$G$5+(E153="Em parte")*'Critérios e pesos'!$G$5/2+(F153="Claro")*'Critérios e pesos'!$G$6+(F153="Em parte")*'Critérios e pesos'!$G$6/2+(G153="Claro")*'Critérios e pesos'!$G$7+(G153="Em parte")*'Critérios e pesos'!$G$7/2+(H153="Claro")*'Critérios e pesos'!$G$8+(H153="Em parte")*'Critérios e pesos'!$G$8/2)</f>
        <v/>
      </c>
      <c r="Q153" s="14">
        <f>IF($B153="","",(I153="Claro")*'Critérios e pesos'!$G$9+(I153="Em parte")*'Critérios e pesos'!$G$9/2+(J153="Claro")*'Critérios e pesos'!$G$10+(J153="Em parte")*'Critérios e pesos'!$G$10/2+(K153="Claro")*'Critérios e pesos'!$G$11+(K153="Em parte")*'Critérios e pesos'!$G$11/2+(L153="Claro")*'Critérios e pesos'!$G$12+(L153="Em parte")*'Critérios e pesos'!$G$12/2+(M153="Claro")*'Critérios e pesos'!$G$13+(M153="Em parte")*'Critérios e pesos'!$G$13/2)</f>
        <v/>
      </c>
      <c r="R153" s="14">
        <f>IF($B153="","",IFERROR(VLOOKUP(N153,'Critérios e pesos'!$B$17:$C$20,2,FALSE),0))</f>
        <v/>
      </c>
      <c r="S153" s="9">
        <f>IF($B153="","",MAX(0,P153+Q153+R153))</f>
        <v/>
      </c>
      <c r="T153" s="9">
        <f>IF($B153="","",IF(O153&lt;&gt;"","X",IF(S153&gt;='Critérios e pesos'!$C$29,"A",IF(S153&gt;='Critérios e pesos'!$C$30,"B","C"))))</f>
        <v/>
      </c>
      <c r="U153" s="14">
        <f>IF(T153="","",INDEX('Critérios e pesos'!$D$29:$D$32,MATCH(T153,'Critérios e pesos'!$A$29:$A$32,0)))</f>
        <v/>
      </c>
      <c r="V153" s="14">
        <f>IF(T153="","",INDEX('Critérios e pesos'!$F$29:$F$32,MATCH(T153,'Critérios e pesos'!$A$29:$A$32,0)))</f>
        <v/>
      </c>
      <c r="W153" s="15">
        <f>IF(OR(AH153="",AJ153=""),"",IF(AI153+AJ153*60&lt;=ROUND('Critérios e pesos'!$C$37*1440,0),INT(AH153)+(AI153+AJ153*60)/1440,WORKDAY(INT(AH153),1+INT((AI153+AJ153*60-ROUND('Critérios e pesos'!$C$37*1440,0)-1)/(ROUND('Critérios e pesos'!$C$37*1440,0)-ROUND('Critérios e pesos'!$C$36*1440,0))))+(ROUND('Critérios e pesos'!$C$36*1440,0)+AI153+AJ153*60-ROUND('Critérios e pesos'!$C$37*1440,0)-INT((AI153+AJ153*60-ROUND('Critérios e pesos'!$C$37*1440,0)-1)/(ROUND('Critérios e pesos'!$C$37*1440,0)-ROUND('Critérios e pesos'!$C$36*1440,0)))*(ROUND('Critérios e pesos'!$C$37*1440,0)-ROUND('Critérios e pesos'!$C$36*1440,0)))/1440))</f>
        <v/>
      </c>
      <c r="X153" s="16" t="n"/>
      <c r="Y153" s="14">
        <f>IF(W153="","",IF(X153="",IF(NOW()&gt;W153,"Atrasado","Em espera"),IF(X153&lt;=W153,"No prazo","Atrasado")))</f>
        <v/>
      </c>
      <c r="Z153" s="17" t="n"/>
      <c r="AA153" s="14">
        <f>IF($B153="","",IF(OR(T153="X",AD153&lt;&gt;""),0,MAX(0,MIN(Q153,'Critérios e pesos'!$C$38*INT((TODAY()-IF(Z153&lt;&gt;"",Z153,INT($A153)))/7)))))</f>
        <v/>
      </c>
      <c r="AB153" s="14">
        <f>IF($B153="","",MAX(0,S153-AA153))</f>
        <v/>
      </c>
      <c r="AC153" s="9">
        <f>IF($B153="","",IF(T153="X","X",IF(AB153&gt;='Critérios e pesos'!$C$29,"A",IF(AB153&gt;='Critérios e pesos'!$C$30,"B","C"))))</f>
        <v/>
      </c>
      <c r="AD153" s="4" t="n"/>
      <c r="AE153" s="18" t="n"/>
      <c r="AF153" s="6" t="n"/>
      <c r="AH153">
        <f>IF($A153="","",IF(OR(WEEKDAY($A153,2)&gt;5,ROUND(MOD($A153,1)*1440,0)&gt;=ROUND('Critérios e pesos'!$C$37*1440,0)),WORKDAY(INT($A153),1)+ROUND('Critérios e pesos'!$C$36*1440,0)/1440,IF(ROUND(MOD($A153,1)*1440,0)&lt;ROUND('Critérios e pesos'!$C$36*1440,0),INT($A153)+ROUND('Critérios e pesos'!$C$36*1440,0)/1440,$A153)))</f>
        <v/>
      </c>
      <c r="AI153">
        <f>IF(AH153="","",ROUND(MOD(AH153,1)*1440,0))</f>
        <v/>
      </c>
      <c r="AJ153">
        <f>IF(T153="","",INDEX('Critérios e pesos'!$E$29:$E$32,MATCH(T153,'Critérios e pesos'!$A$29:$A$32,0)))</f>
        <v/>
      </c>
    </row>
    <row r="154">
      <c r="A154" s="13" t="n"/>
      <c r="B154" s="6" t="n"/>
      <c r="C154" s="6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6" t="n"/>
      <c r="O154" s="6" t="n"/>
      <c r="P154" s="14">
        <f>IF($B154="","",(E154="Claro")*'Critérios e pesos'!$G$5+(E154="Em parte")*'Critérios e pesos'!$G$5/2+(F154="Claro")*'Critérios e pesos'!$G$6+(F154="Em parte")*'Critérios e pesos'!$G$6/2+(G154="Claro")*'Critérios e pesos'!$G$7+(G154="Em parte")*'Critérios e pesos'!$G$7/2+(H154="Claro")*'Critérios e pesos'!$G$8+(H154="Em parte")*'Critérios e pesos'!$G$8/2)</f>
        <v/>
      </c>
      <c r="Q154" s="14">
        <f>IF($B154="","",(I154="Claro")*'Critérios e pesos'!$G$9+(I154="Em parte")*'Critérios e pesos'!$G$9/2+(J154="Claro")*'Critérios e pesos'!$G$10+(J154="Em parte")*'Critérios e pesos'!$G$10/2+(K154="Claro")*'Critérios e pesos'!$G$11+(K154="Em parte")*'Critérios e pesos'!$G$11/2+(L154="Claro")*'Critérios e pesos'!$G$12+(L154="Em parte")*'Critérios e pesos'!$G$12/2+(M154="Claro")*'Critérios e pesos'!$G$13+(M154="Em parte")*'Critérios e pesos'!$G$13/2)</f>
        <v/>
      </c>
      <c r="R154" s="14">
        <f>IF($B154="","",IFERROR(VLOOKUP(N154,'Critérios e pesos'!$B$17:$C$20,2,FALSE),0))</f>
        <v/>
      </c>
      <c r="S154" s="9">
        <f>IF($B154="","",MAX(0,P154+Q154+R154))</f>
        <v/>
      </c>
      <c r="T154" s="9">
        <f>IF($B154="","",IF(O154&lt;&gt;"","X",IF(S154&gt;='Critérios e pesos'!$C$29,"A",IF(S154&gt;='Critérios e pesos'!$C$30,"B","C"))))</f>
        <v/>
      </c>
      <c r="U154" s="14">
        <f>IF(T154="","",INDEX('Critérios e pesos'!$D$29:$D$32,MATCH(T154,'Critérios e pesos'!$A$29:$A$32,0)))</f>
        <v/>
      </c>
      <c r="V154" s="14">
        <f>IF(T154="","",INDEX('Critérios e pesos'!$F$29:$F$32,MATCH(T154,'Critérios e pesos'!$A$29:$A$32,0)))</f>
        <v/>
      </c>
      <c r="W154" s="15">
        <f>IF(OR(AH154="",AJ154=""),"",IF(AI154+AJ154*60&lt;=ROUND('Critérios e pesos'!$C$37*1440,0),INT(AH154)+(AI154+AJ154*60)/1440,WORKDAY(INT(AH154),1+INT((AI154+AJ154*60-ROUND('Critérios e pesos'!$C$37*1440,0)-1)/(ROUND('Critérios e pesos'!$C$37*1440,0)-ROUND('Critérios e pesos'!$C$36*1440,0))))+(ROUND('Critérios e pesos'!$C$36*1440,0)+AI154+AJ154*60-ROUND('Critérios e pesos'!$C$37*1440,0)-INT((AI154+AJ154*60-ROUND('Critérios e pesos'!$C$37*1440,0)-1)/(ROUND('Critérios e pesos'!$C$37*1440,0)-ROUND('Critérios e pesos'!$C$36*1440,0)))*(ROUND('Critérios e pesos'!$C$37*1440,0)-ROUND('Critérios e pesos'!$C$36*1440,0)))/1440))</f>
        <v/>
      </c>
      <c r="X154" s="16" t="n"/>
      <c r="Y154" s="14">
        <f>IF(W154="","",IF(X154="",IF(NOW()&gt;W154,"Atrasado","Em espera"),IF(X154&lt;=W154,"No prazo","Atrasado")))</f>
        <v/>
      </c>
      <c r="Z154" s="17" t="n"/>
      <c r="AA154" s="14">
        <f>IF($B154="","",IF(OR(T154="X",AD154&lt;&gt;""),0,MAX(0,MIN(Q154,'Critérios e pesos'!$C$38*INT((TODAY()-IF(Z154&lt;&gt;"",Z154,INT($A154)))/7)))))</f>
        <v/>
      </c>
      <c r="AB154" s="14">
        <f>IF($B154="","",MAX(0,S154-AA154))</f>
        <v/>
      </c>
      <c r="AC154" s="9">
        <f>IF($B154="","",IF(T154="X","X",IF(AB154&gt;='Critérios e pesos'!$C$29,"A",IF(AB154&gt;='Critérios e pesos'!$C$30,"B","C"))))</f>
        <v/>
      </c>
      <c r="AD154" s="4" t="n"/>
      <c r="AE154" s="18" t="n"/>
      <c r="AF154" s="6" t="n"/>
      <c r="AH154">
        <f>IF($A154="","",IF(OR(WEEKDAY($A154,2)&gt;5,ROUND(MOD($A154,1)*1440,0)&gt;=ROUND('Critérios e pesos'!$C$37*1440,0)),WORKDAY(INT($A154),1)+ROUND('Critérios e pesos'!$C$36*1440,0)/1440,IF(ROUND(MOD($A154,1)*1440,0)&lt;ROUND('Critérios e pesos'!$C$36*1440,0),INT($A154)+ROUND('Critérios e pesos'!$C$36*1440,0)/1440,$A154)))</f>
        <v/>
      </c>
      <c r="AI154">
        <f>IF(AH154="","",ROUND(MOD(AH154,1)*1440,0))</f>
        <v/>
      </c>
      <c r="AJ154">
        <f>IF(T154="","",INDEX('Critérios e pesos'!$E$29:$E$32,MATCH(T154,'Critérios e pesos'!$A$29:$A$32,0)))</f>
        <v/>
      </c>
    </row>
    <row r="155">
      <c r="A155" s="13" t="n"/>
      <c r="B155" s="6" t="n"/>
      <c r="C155" s="6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6" t="n"/>
      <c r="O155" s="6" t="n"/>
      <c r="P155" s="14">
        <f>IF($B155="","",(E155="Claro")*'Critérios e pesos'!$G$5+(E155="Em parte")*'Critérios e pesos'!$G$5/2+(F155="Claro")*'Critérios e pesos'!$G$6+(F155="Em parte")*'Critérios e pesos'!$G$6/2+(G155="Claro")*'Critérios e pesos'!$G$7+(G155="Em parte")*'Critérios e pesos'!$G$7/2+(H155="Claro")*'Critérios e pesos'!$G$8+(H155="Em parte")*'Critérios e pesos'!$G$8/2)</f>
        <v/>
      </c>
      <c r="Q155" s="14">
        <f>IF($B155="","",(I155="Claro")*'Critérios e pesos'!$G$9+(I155="Em parte")*'Critérios e pesos'!$G$9/2+(J155="Claro")*'Critérios e pesos'!$G$10+(J155="Em parte")*'Critérios e pesos'!$G$10/2+(K155="Claro")*'Critérios e pesos'!$G$11+(K155="Em parte")*'Critérios e pesos'!$G$11/2+(L155="Claro")*'Critérios e pesos'!$G$12+(L155="Em parte")*'Critérios e pesos'!$G$12/2+(M155="Claro")*'Critérios e pesos'!$G$13+(M155="Em parte")*'Critérios e pesos'!$G$13/2)</f>
        <v/>
      </c>
      <c r="R155" s="14">
        <f>IF($B155="","",IFERROR(VLOOKUP(N155,'Critérios e pesos'!$B$17:$C$20,2,FALSE),0))</f>
        <v/>
      </c>
      <c r="S155" s="9">
        <f>IF($B155="","",MAX(0,P155+Q155+R155))</f>
        <v/>
      </c>
      <c r="T155" s="9">
        <f>IF($B155="","",IF(O155&lt;&gt;"","X",IF(S155&gt;='Critérios e pesos'!$C$29,"A",IF(S155&gt;='Critérios e pesos'!$C$30,"B","C"))))</f>
        <v/>
      </c>
      <c r="U155" s="14">
        <f>IF(T155="","",INDEX('Critérios e pesos'!$D$29:$D$32,MATCH(T155,'Critérios e pesos'!$A$29:$A$32,0)))</f>
        <v/>
      </c>
      <c r="V155" s="14">
        <f>IF(T155="","",INDEX('Critérios e pesos'!$F$29:$F$32,MATCH(T155,'Critérios e pesos'!$A$29:$A$32,0)))</f>
        <v/>
      </c>
      <c r="W155" s="15">
        <f>IF(OR(AH155="",AJ155=""),"",IF(AI155+AJ155*60&lt;=ROUND('Critérios e pesos'!$C$37*1440,0),INT(AH155)+(AI155+AJ155*60)/1440,WORKDAY(INT(AH155),1+INT((AI155+AJ155*60-ROUND('Critérios e pesos'!$C$37*1440,0)-1)/(ROUND('Critérios e pesos'!$C$37*1440,0)-ROUND('Critérios e pesos'!$C$36*1440,0))))+(ROUND('Critérios e pesos'!$C$36*1440,0)+AI155+AJ155*60-ROUND('Critérios e pesos'!$C$37*1440,0)-INT((AI155+AJ155*60-ROUND('Critérios e pesos'!$C$37*1440,0)-1)/(ROUND('Critérios e pesos'!$C$37*1440,0)-ROUND('Critérios e pesos'!$C$36*1440,0)))*(ROUND('Critérios e pesos'!$C$37*1440,0)-ROUND('Critérios e pesos'!$C$36*1440,0)))/1440))</f>
        <v/>
      </c>
      <c r="X155" s="16" t="n"/>
      <c r="Y155" s="14">
        <f>IF(W155="","",IF(X155="",IF(NOW()&gt;W155,"Atrasado","Em espera"),IF(X155&lt;=W155,"No prazo","Atrasado")))</f>
        <v/>
      </c>
      <c r="Z155" s="17" t="n"/>
      <c r="AA155" s="14">
        <f>IF($B155="","",IF(OR(T155="X",AD155&lt;&gt;""),0,MAX(0,MIN(Q155,'Critérios e pesos'!$C$38*INT((TODAY()-IF(Z155&lt;&gt;"",Z155,INT($A155)))/7)))))</f>
        <v/>
      </c>
      <c r="AB155" s="14">
        <f>IF($B155="","",MAX(0,S155-AA155))</f>
        <v/>
      </c>
      <c r="AC155" s="9">
        <f>IF($B155="","",IF(T155="X","X",IF(AB155&gt;='Critérios e pesos'!$C$29,"A",IF(AB155&gt;='Critérios e pesos'!$C$30,"B","C"))))</f>
        <v/>
      </c>
      <c r="AD155" s="4" t="n"/>
      <c r="AE155" s="18" t="n"/>
      <c r="AF155" s="6" t="n"/>
      <c r="AH155">
        <f>IF($A155="","",IF(OR(WEEKDAY($A155,2)&gt;5,ROUND(MOD($A155,1)*1440,0)&gt;=ROUND('Critérios e pesos'!$C$37*1440,0)),WORKDAY(INT($A155),1)+ROUND('Critérios e pesos'!$C$36*1440,0)/1440,IF(ROUND(MOD($A155,1)*1440,0)&lt;ROUND('Critérios e pesos'!$C$36*1440,0),INT($A155)+ROUND('Critérios e pesos'!$C$36*1440,0)/1440,$A155)))</f>
        <v/>
      </c>
      <c r="AI155">
        <f>IF(AH155="","",ROUND(MOD(AH155,1)*1440,0))</f>
        <v/>
      </c>
      <c r="AJ155">
        <f>IF(T155="","",INDEX('Critérios e pesos'!$E$29:$E$32,MATCH(T155,'Critérios e pesos'!$A$29:$A$32,0)))</f>
        <v/>
      </c>
    </row>
    <row r="156">
      <c r="A156" s="13" t="n"/>
      <c r="B156" s="6" t="n"/>
      <c r="C156" s="6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6" t="n"/>
      <c r="O156" s="6" t="n"/>
      <c r="P156" s="14">
        <f>IF($B156="","",(E156="Claro")*'Critérios e pesos'!$G$5+(E156="Em parte")*'Critérios e pesos'!$G$5/2+(F156="Claro")*'Critérios e pesos'!$G$6+(F156="Em parte")*'Critérios e pesos'!$G$6/2+(G156="Claro")*'Critérios e pesos'!$G$7+(G156="Em parte")*'Critérios e pesos'!$G$7/2+(H156="Claro")*'Critérios e pesos'!$G$8+(H156="Em parte")*'Critérios e pesos'!$G$8/2)</f>
        <v/>
      </c>
      <c r="Q156" s="14">
        <f>IF($B156="","",(I156="Claro")*'Critérios e pesos'!$G$9+(I156="Em parte")*'Critérios e pesos'!$G$9/2+(J156="Claro")*'Critérios e pesos'!$G$10+(J156="Em parte")*'Critérios e pesos'!$G$10/2+(K156="Claro")*'Critérios e pesos'!$G$11+(K156="Em parte")*'Critérios e pesos'!$G$11/2+(L156="Claro")*'Critérios e pesos'!$G$12+(L156="Em parte")*'Critérios e pesos'!$G$12/2+(M156="Claro")*'Critérios e pesos'!$G$13+(M156="Em parte")*'Critérios e pesos'!$G$13/2)</f>
        <v/>
      </c>
      <c r="R156" s="14">
        <f>IF($B156="","",IFERROR(VLOOKUP(N156,'Critérios e pesos'!$B$17:$C$20,2,FALSE),0))</f>
        <v/>
      </c>
      <c r="S156" s="9">
        <f>IF($B156="","",MAX(0,P156+Q156+R156))</f>
        <v/>
      </c>
      <c r="T156" s="9">
        <f>IF($B156="","",IF(O156&lt;&gt;"","X",IF(S156&gt;='Critérios e pesos'!$C$29,"A",IF(S156&gt;='Critérios e pesos'!$C$30,"B","C"))))</f>
        <v/>
      </c>
      <c r="U156" s="14">
        <f>IF(T156="","",INDEX('Critérios e pesos'!$D$29:$D$32,MATCH(T156,'Critérios e pesos'!$A$29:$A$32,0)))</f>
        <v/>
      </c>
      <c r="V156" s="14">
        <f>IF(T156="","",INDEX('Critérios e pesos'!$F$29:$F$32,MATCH(T156,'Critérios e pesos'!$A$29:$A$32,0)))</f>
        <v/>
      </c>
      <c r="W156" s="15">
        <f>IF(OR(AH156="",AJ156=""),"",IF(AI156+AJ156*60&lt;=ROUND('Critérios e pesos'!$C$37*1440,0),INT(AH156)+(AI156+AJ156*60)/1440,WORKDAY(INT(AH156),1+INT((AI156+AJ156*60-ROUND('Critérios e pesos'!$C$37*1440,0)-1)/(ROUND('Critérios e pesos'!$C$37*1440,0)-ROUND('Critérios e pesos'!$C$36*1440,0))))+(ROUND('Critérios e pesos'!$C$36*1440,0)+AI156+AJ156*60-ROUND('Critérios e pesos'!$C$37*1440,0)-INT((AI156+AJ156*60-ROUND('Critérios e pesos'!$C$37*1440,0)-1)/(ROUND('Critérios e pesos'!$C$37*1440,0)-ROUND('Critérios e pesos'!$C$36*1440,0)))*(ROUND('Critérios e pesos'!$C$37*1440,0)-ROUND('Critérios e pesos'!$C$36*1440,0)))/1440))</f>
        <v/>
      </c>
      <c r="X156" s="16" t="n"/>
      <c r="Y156" s="14">
        <f>IF(W156="","",IF(X156="",IF(NOW()&gt;W156,"Atrasado","Em espera"),IF(X156&lt;=W156,"No prazo","Atrasado")))</f>
        <v/>
      </c>
      <c r="Z156" s="17" t="n"/>
      <c r="AA156" s="14">
        <f>IF($B156="","",IF(OR(T156="X",AD156&lt;&gt;""),0,MAX(0,MIN(Q156,'Critérios e pesos'!$C$38*INT((TODAY()-IF(Z156&lt;&gt;"",Z156,INT($A156)))/7)))))</f>
        <v/>
      </c>
      <c r="AB156" s="14">
        <f>IF($B156="","",MAX(0,S156-AA156))</f>
        <v/>
      </c>
      <c r="AC156" s="9">
        <f>IF($B156="","",IF(T156="X","X",IF(AB156&gt;='Critérios e pesos'!$C$29,"A",IF(AB156&gt;='Critérios e pesos'!$C$30,"B","C"))))</f>
        <v/>
      </c>
      <c r="AD156" s="4" t="n"/>
      <c r="AE156" s="18" t="n"/>
      <c r="AF156" s="6" t="n"/>
      <c r="AH156">
        <f>IF($A156="","",IF(OR(WEEKDAY($A156,2)&gt;5,ROUND(MOD($A156,1)*1440,0)&gt;=ROUND('Critérios e pesos'!$C$37*1440,0)),WORKDAY(INT($A156),1)+ROUND('Critérios e pesos'!$C$36*1440,0)/1440,IF(ROUND(MOD($A156,1)*1440,0)&lt;ROUND('Critérios e pesos'!$C$36*1440,0),INT($A156)+ROUND('Critérios e pesos'!$C$36*1440,0)/1440,$A156)))</f>
        <v/>
      </c>
      <c r="AI156">
        <f>IF(AH156="","",ROUND(MOD(AH156,1)*1440,0))</f>
        <v/>
      </c>
      <c r="AJ156">
        <f>IF(T156="","",INDEX('Critérios e pesos'!$E$29:$E$32,MATCH(T156,'Critérios e pesos'!$A$29:$A$32,0)))</f>
        <v/>
      </c>
    </row>
    <row r="157">
      <c r="A157" s="13" t="n"/>
      <c r="B157" s="6" t="n"/>
      <c r="C157" s="6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6" t="n"/>
      <c r="O157" s="6" t="n"/>
      <c r="P157" s="14">
        <f>IF($B157="","",(E157="Claro")*'Critérios e pesos'!$G$5+(E157="Em parte")*'Critérios e pesos'!$G$5/2+(F157="Claro")*'Critérios e pesos'!$G$6+(F157="Em parte")*'Critérios e pesos'!$G$6/2+(G157="Claro")*'Critérios e pesos'!$G$7+(G157="Em parte")*'Critérios e pesos'!$G$7/2+(H157="Claro")*'Critérios e pesos'!$G$8+(H157="Em parte")*'Critérios e pesos'!$G$8/2)</f>
        <v/>
      </c>
      <c r="Q157" s="14">
        <f>IF($B157="","",(I157="Claro")*'Critérios e pesos'!$G$9+(I157="Em parte")*'Critérios e pesos'!$G$9/2+(J157="Claro")*'Critérios e pesos'!$G$10+(J157="Em parte")*'Critérios e pesos'!$G$10/2+(K157="Claro")*'Critérios e pesos'!$G$11+(K157="Em parte")*'Critérios e pesos'!$G$11/2+(L157="Claro")*'Critérios e pesos'!$G$12+(L157="Em parte")*'Critérios e pesos'!$G$12/2+(M157="Claro")*'Critérios e pesos'!$G$13+(M157="Em parte")*'Critérios e pesos'!$G$13/2)</f>
        <v/>
      </c>
      <c r="R157" s="14">
        <f>IF($B157="","",IFERROR(VLOOKUP(N157,'Critérios e pesos'!$B$17:$C$20,2,FALSE),0))</f>
        <v/>
      </c>
      <c r="S157" s="9">
        <f>IF($B157="","",MAX(0,P157+Q157+R157))</f>
        <v/>
      </c>
      <c r="T157" s="9">
        <f>IF($B157="","",IF(O157&lt;&gt;"","X",IF(S157&gt;='Critérios e pesos'!$C$29,"A",IF(S157&gt;='Critérios e pesos'!$C$30,"B","C"))))</f>
        <v/>
      </c>
      <c r="U157" s="14">
        <f>IF(T157="","",INDEX('Critérios e pesos'!$D$29:$D$32,MATCH(T157,'Critérios e pesos'!$A$29:$A$32,0)))</f>
        <v/>
      </c>
      <c r="V157" s="14">
        <f>IF(T157="","",INDEX('Critérios e pesos'!$F$29:$F$32,MATCH(T157,'Critérios e pesos'!$A$29:$A$32,0)))</f>
        <v/>
      </c>
      <c r="W157" s="15">
        <f>IF(OR(AH157="",AJ157=""),"",IF(AI157+AJ157*60&lt;=ROUND('Critérios e pesos'!$C$37*1440,0),INT(AH157)+(AI157+AJ157*60)/1440,WORKDAY(INT(AH157),1+INT((AI157+AJ157*60-ROUND('Critérios e pesos'!$C$37*1440,0)-1)/(ROUND('Critérios e pesos'!$C$37*1440,0)-ROUND('Critérios e pesos'!$C$36*1440,0))))+(ROUND('Critérios e pesos'!$C$36*1440,0)+AI157+AJ157*60-ROUND('Critérios e pesos'!$C$37*1440,0)-INT((AI157+AJ157*60-ROUND('Critérios e pesos'!$C$37*1440,0)-1)/(ROUND('Critérios e pesos'!$C$37*1440,0)-ROUND('Critérios e pesos'!$C$36*1440,0)))*(ROUND('Critérios e pesos'!$C$37*1440,0)-ROUND('Critérios e pesos'!$C$36*1440,0)))/1440))</f>
        <v/>
      </c>
      <c r="X157" s="16" t="n"/>
      <c r="Y157" s="14">
        <f>IF(W157="","",IF(X157="",IF(NOW()&gt;W157,"Atrasado","Em espera"),IF(X157&lt;=W157,"No prazo","Atrasado")))</f>
        <v/>
      </c>
      <c r="Z157" s="17" t="n"/>
      <c r="AA157" s="14">
        <f>IF($B157="","",IF(OR(T157="X",AD157&lt;&gt;""),0,MAX(0,MIN(Q157,'Critérios e pesos'!$C$38*INT((TODAY()-IF(Z157&lt;&gt;"",Z157,INT($A157)))/7)))))</f>
        <v/>
      </c>
      <c r="AB157" s="14">
        <f>IF($B157="","",MAX(0,S157-AA157))</f>
        <v/>
      </c>
      <c r="AC157" s="9">
        <f>IF($B157="","",IF(T157="X","X",IF(AB157&gt;='Critérios e pesos'!$C$29,"A",IF(AB157&gt;='Critérios e pesos'!$C$30,"B","C"))))</f>
        <v/>
      </c>
      <c r="AD157" s="4" t="n"/>
      <c r="AE157" s="18" t="n"/>
      <c r="AF157" s="6" t="n"/>
      <c r="AH157">
        <f>IF($A157="","",IF(OR(WEEKDAY($A157,2)&gt;5,ROUND(MOD($A157,1)*1440,0)&gt;=ROUND('Critérios e pesos'!$C$37*1440,0)),WORKDAY(INT($A157),1)+ROUND('Critérios e pesos'!$C$36*1440,0)/1440,IF(ROUND(MOD($A157,1)*1440,0)&lt;ROUND('Critérios e pesos'!$C$36*1440,0),INT($A157)+ROUND('Critérios e pesos'!$C$36*1440,0)/1440,$A157)))</f>
        <v/>
      </c>
      <c r="AI157">
        <f>IF(AH157="","",ROUND(MOD(AH157,1)*1440,0))</f>
        <v/>
      </c>
      <c r="AJ157">
        <f>IF(T157="","",INDEX('Critérios e pesos'!$E$29:$E$32,MATCH(T157,'Critérios e pesos'!$A$29:$A$32,0)))</f>
        <v/>
      </c>
    </row>
    <row r="158">
      <c r="A158" s="13" t="n"/>
      <c r="B158" s="6" t="n"/>
      <c r="C158" s="6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6" t="n"/>
      <c r="O158" s="6" t="n"/>
      <c r="P158" s="14">
        <f>IF($B158="","",(E158="Claro")*'Critérios e pesos'!$G$5+(E158="Em parte")*'Critérios e pesos'!$G$5/2+(F158="Claro")*'Critérios e pesos'!$G$6+(F158="Em parte")*'Critérios e pesos'!$G$6/2+(G158="Claro")*'Critérios e pesos'!$G$7+(G158="Em parte")*'Critérios e pesos'!$G$7/2+(H158="Claro")*'Critérios e pesos'!$G$8+(H158="Em parte")*'Critérios e pesos'!$G$8/2)</f>
        <v/>
      </c>
      <c r="Q158" s="14">
        <f>IF($B158="","",(I158="Claro")*'Critérios e pesos'!$G$9+(I158="Em parte")*'Critérios e pesos'!$G$9/2+(J158="Claro")*'Critérios e pesos'!$G$10+(J158="Em parte")*'Critérios e pesos'!$G$10/2+(K158="Claro")*'Critérios e pesos'!$G$11+(K158="Em parte")*'Critérios e pesos'!$G$11/2+(L158="Claro")*'Critérios e pesos'!$G$12+(L158="Em parte")*'Critérios e pesos'!$G$12/2+(M158="Claro")*'Critérios e pesos'!$G$13+(M158="Em parte")*'Critérios e pesos'!$G$13/2)</f>
        <v/>
      </c>
      <c r="R158" s="14">
        <f>IF($B158="","",IFERROR(VLOOKUP(N158,'Critérios e pesos'!$B$17:$C$20,2,FALSE),0))</f>
        <v/>
      </c>
      <c r="S158" s="9">
        <f>IF($B158="","",MAX(0,P158+Q158+R158))</f>
        <v/>
      </c>
      <c r="T158" s="9">
        <f>IF($B158="","",IF(O158&lt;&gt;"","X",IF(S158&gt;='Critérios e pesos'!$C$29,"A",IF(S158&gt;='Critérios e pesos'!$C$30,"B","C"))))</f>
        <v/>
      </c>
      <c r="U158" s="14">
        <f>IF(T158="","",INDEX('Critérios e pesos'!$D$29:$D$32,MATCH(T158,'Critérios e pesos'!$A$29:$A$32,0)))</f>
        <v/>
      </c>
      <c r="V158" s="14">
        <f>IF(T158="","",INDEX('Critérios e pesos'!$F$29:$F$32,MATCH(T158,'Critérios e pesos'!$A$29:$A$32,0)))</f>
        <v/>
      </c>
      <c r="W158" s="15">
        <f>IF(OR(AH158="",AJ158=""),"",IF(AI158+AJ158*60&lt;=ROUND('Critérios e pesos'!$C$37*1440,0),INT(AH158)+(AI158+AJ158*60)/1440,WORKDAY(INT(AH158),1+INT((AI158+AJ158*60-ROUND('Critérios e pesos'!$C$37*1440,0)-1)/(ROUND('Critérios e pesos'!$C$37*1440,0)-ROUND('Critérios e pesos'!$C$36*1440,0))))+(ROUND('Critérios e pesos'!$C$36*1440,0)+AI158+AJ158*60-ROUND('Critérios e pesos'!$C$37*1440,0)-INT((AI158+AJ158*60-ROUND('Critérios e pesos'!$C$37*1440,0)-1)/(ROUND('Critérios e pesos'!$C$37*1440,0)-ROUND('Critérios e pesos'!$C$36*1440,0)))*(ROUND('Critérios e pesos'!$C$37*1440,0)-ROUND('Critérios e pesos'!$C$36*1440,0)))/1440))</f>
        <v/>
      </c>
      <c r="X158" s="16" t="n"/>
      <c r="Y158" s="14">
        <f>IF(W158="","",IF(X158="",IF(NOW()&gt;W158,"Atrasado","Em espera"),IF(X158&lt;=W158,"No prazo","Atrasado")))</f>
        <v/>
      </c>
      <c r="Z158" s="17" t="n"/>
      <c r="AA158" s="14">
        <f>IF($B158="","",IF(OR(T158="X",AD158&lt;&gt;""),0,MAX(0,MIN(Q158,'Critérios e pesos'!$C$38*INT((TODAY()-IF(Z158&lt;&gt;"",Z158,INT($A158)))/7)))))</f>
        <v/>
      </c>
      <c r="AB158" s="14">
        <f>IF($B158="","",MAX(0,S158-AA158))</f>
        <v/>
      </c>
      <c r="AC158" s="9">
        <f>IF($B158="","",IF(T158="X","X",IF(AB158&gt;='Critérios e pesos'!$C$29,"A",IF(AB158&gt;='Critérios e pesos'!$C$30,"B","C"))))</f>
        <v/>
      </c>
      <c r="AD158" s="4" t="n"/>
      <c r="AE158" s="18" t="n"/>
      <c r="AF158" s="6" t="n"/>
      <c r="AH158">
        <f>IF($A158="","",IF(OR(WEEKDAY($A158,2)&gt;5,ROUND(MOD($A158,1)*1440,0)&gt;=ROUND('Critérios e pesos'!$C$37*1440,0)),WORKDAY(INT($A158),1)+ROUND('Critérios e pesos'!$C$36*1440,0)/1440,IF(ROUND(MOD($A158,1)*1440,0)&lt;ROUND('Critérios e pesos'!$C$36*1440,0),INT($A158)+ROUND('Critérios e pesos'!$C$36*1440,0)/1440,$A158)))</f>
        <v/>
      </c>
      <c r="AI158">
        <f>IF(AH158="","",ROUND(MOD(AH158,1)*1440,0))</f>
        <v/>
      </c>
      <c r="AJ158">
        <f>IF(T158="","",INDEX('Critérios e pesos'!$E$29:$E$32,MATCH(T158,'Critérios e pesos'!$A$29:$A$32,0)))</f>
        <v/>
      </c>
    </row>
    <row r="159">
      <c r="A159" s="13" t="n"/>
      <c r="B159" s="6" t="n"/>
      <c r="C159" s="6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6" t="n"/>
      <c r="O159" s="6" t="n"/>
      <c r="P159" s="14">
        <f>IF($B159="","",(E159="Claro")*'Critérios e pesos'!$G$5+(E159="Em parte")*'Critérios e pesos'!$G$5/2+(F159="Claro")*'Critérios e pesos'!$G$6+(F159="Em parte")*'Critérios e pesos'!$G$6/2+(G159="Claro")*'Critérios e pesos'!$G$7+(G159="Em parte")*'Critérios e pesos'!$G$7/2+(H159="Claro")*'Critérios e pesos'!$G$8+(H159="Em parte")*'Critérios e pesos'!$G$8/2)</f>
        <v/>
      </c>
      <c r="Q159" s="14">
        <f>IF($B159="","",(I159="Claro")*'Critérios e pesos'!$G$9+(I159="Em parte")*'Critérios e pesos'!$G$9/2+(J159="Claro")*'Critérios e pesos'!$G$10+(J159="Em parte")*'Critérios e pesos'!$G$10/2+(K159="Claro")*'Critérios e pesos'!$G$11+(K159="Em parte")*'Critérios e pesos'!$G$11/2+(L159="Claro")*'Critérios e pesos'!$G$12+(L159="Em parte")*'Critérios e pesos'!$G$12/2+(M159="Claro")*'Critérios e pesos'!$G$13+(M159="Em parte")*'Critérios e pesos'!$G$13/2)</f>
        <v/>
      </c>
      <c r="R159" s="14">
        <f>IF($B159="","",IFERROR(VLOOKUP(N159,'Critérios e pesos'!$B$17:$C$20,2,FALSE),0))</f>
        <v/>
      </c>
      <c r="S159" s="9">
        <f>IF($B159="","",MAX(0,P159+Q159+R159))</f>
        <v/>
      </c>
      <c r="T159" s="9">
        <f>IF($B159="","",IF(O159&lt;&gt;"","X",IF(S159&gt;='Critérios e pesos'!$C$29,"A",IF(S159&gt;='Critérios e pesos'!$C$30,"B","C"))))</f>
        <v/>
      </c>
      <c r="U159" s="14">
        <f>IF(T159="","",INDEX('Critérios e pesos'!$D$29:$D$32,MATCH(T159,'Critérios e pesos'!$A$29:$A$32,0)))</f>
        <v/>
      </c>
      <c r="V159" s="14">
        <f>IF(T159="","",INDEX('Critérios e pesos'!$F$29:$F$32,MATCH(T159,'Critérios e pesos'!$A$29:$A$32,0)))</f>
        <v/>
      </c>
      <c r="W159" s="15">
        <f>IF(OR(AH159="",AJ159=""),"",IF(AI159+AJ159*60&lt;=ROUND('Critérios e pesos'!$C$37*1440,0),INT(AH159)+(AI159+AJ159*60)/1440,WORKDAY(INT(AH159),1+INT((AI159+AJ159*60-ROUND('Critérios e pesos'!$C$37*1440,0)-1)/(ROUND('Critérios e pesos'!$C$37*1440,0)-ROUND('Critérios e pesos'!$C$36*1440,0))))+(ROUND('Critérios e pesos'!$C$36*1440,0)+AI159+AJ159*60-ROUND('Critérios e pesos'!$C$37*1440,0)-INT((AI159+AJ159*60-ROUND('Critérios e pesos'!$C$37*1440,0)-1)/(ROUND('Critérios e pesos'!$C$37*1440,0)-ROUND('Critérios e pesos'!$C$36*1440,0)))*(ROUND('Critérios e pesos'!$C$37*1440,0)-ROUND('Critérios e pesos'!$C$36*1440,0)))/1440))</f>
        <v/>
      </c>
      <c r="X159" s="16" t="n"/>
      <c r="Y159" s="14">
        <f>IF(W159="","",IF(X159="",IF(NOW()&gt;W159,"Atrasado","Em espera"),IF(X159&lt;=W159,"No prazo","Atrasado")))</f>
        <v/>
      </c>
      <c r="Z159" s="17" t="n"/>
      <c r="AA159" s="14">
        <f>IF($B159="","",IF(OR(T159="X",AD159&lt;&gt;""),0,MAX(0,MIN(Q159,'Critérios e pesos'!$C$38*INT((TODAY()-IF(Z159&lt;&gt;"",Z159,INT($A159)))/7)))))</f>
        <v/>
      </c>
      <c r="AB159" s="14">
        <f>IF($B159="","",MAX(0,S159-AA159))</f>
        <v/>
      </c>
      <c r="AC159" s="9">
        <f>IF($B159="","",IF(T159="X","X",IF(AB159&gt;='Critérios e pesos'!$C$29,"A",IF(AB159&gt;='Critérios e pesos'!$C$30,"B","C"))))</f>
        <v/>
      </c>
      <c r="AD159" s="4" t="n"/>
      <c r="AE159" s="18" t="n"/>
      <c r="AF159" s="6" t="n"/>
      <c r="AH159">
        <f>IF($A159="","",IF(OR(WEEKDAY($A159,2)&gt;5,ROUND(MOD($A159,1)*1440,0)&gt;=ROUND('Critérios e pesos'!$C$37*1440,0)),WORKDAY(INT($A159),1)+ROUND('Critérios e pesos'!$C$36*1440,0)/1440,IF(ROUND(MOD($A159,1)*1440,0)&lt;ROUND('Critérios e pesos'!$C$36*1440,0),INT($A159)+ROUND('Critérios e pesos'!$C$36*1440,0)/1440,$A159)))</f>
        <v/>
      </c>
      <c r="AI159">
        <f>IF(AH159="","",ROUND(MOD(AH159,1)*1440,0))</f>
        <v/>
      </c>
      <c r="AJ159">
        <f>IF(T159="","",INDEX('Critérios e pesos'!$E$29:$E$32,MATCH(T159,'Critérios e pesos'!$A$29:$A$32,0)))</f>
        <v/>
      </c>
    </row>
    <row r="160">
      <c r="A160" s="13" t="n"/>
      <c r="B160" s="6" t="n"/>
      <c r="C160" s="6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6" t="n"/>
      <c r="O160" s="6" t="n"/>
      <c r="P160" s="14">
        <f>IF($B160="","",(E160="Claro")*'Critérios e pesos'!$G$5+(E160="Em parte")*'Critérios e pesos'!$G$5/2+(F160="Claro")*'Critérios e pesos'!$G$6+(F160="Em parte")*'Critérios e pesos'!$G$6/2+(G160="Claro")*'Critérios e pesos'!$G$7+(G160="Em parte")*'Critérios e pesos'!$G$7/2+(H160="Claro")*'Critérios e pesos'!$G$8+(H160="Em parte")*'Critérios e pesos'!$G$8/2)</f>
        <v/>
      </c>
      <c r="Q160" s="14">
        <f>IF($B160="","",(I160="Claro")*'Critérios e pesos'!$G$9+(I160="Em parte")*'Critérios e pesos'!$G$9/2+(J160="Claro")*'Critérios e pesos'!$G$10+(J160="Em parte")*'Critérios e pesos'!$G$10/2+(K160="Claro")*'Critérios e pesos'!$G$11+(K160="Em parte")*'Critérios e pesos'!$G$11/2+(L160="Claro")*'Critérios e pesos'!$G$12+(L160="Em parte")*'Critérios e pesos'!$G$12/2+(M160="Claro")*'Critérios e pesos'!$G$13+(M160="Em parte")*'Critérios e pesos'!$G$13/2)</f>
        <v/>
      </c>
      <c r="R160" s="14">
        <f>IF($B160="","",IFERROR(VLOOKUP(N160,'Critérios e pesos'!$B$17:$C$20,2,FALSE),0))</f>
        <v/>
      </c>
      <c r="S160" s="9">
        <f>IF($B160="","",MAX(0,P160+Q160+R160))</f>
        <v/>
      </c>
      <c r="T160" s="9">
        <f>IF($B160="","",IF(O160&lt;&gt;"","X",IF(S160&gt;='Critérios e pesos'!$C$29,"A",IF(S160&gt;='Critérios e pesos'!$C$30,"B","C"))))</f>
        <v/>
      </c>
      <c r="U160" s="14">
        <f>IF(T160="","",INDEX('Critérios e pesos'!$D$29:$D$32,MATCH(T160,'Critérios e pesos'!$A$29:$A$32,0)))</f>
        <v/>
      </c>
      <c r="V160" s="14">
        <f>IF(T160="","",INDEX('Critérios e pesos'!$F$29:$F$32,MATCH(T160,'Critérios e pesos'!$A$29:$A$32,0)))</f>
        <v/>
      </c>
      <c r="W160" s="15">
        <f>IF(OR(AH160="",AJ160=""),"",IF(AI160+AJ160*60&lt;=ROUND('Critérios e pesos'!$C$37*1440,0),INT(AH160)+(AI160+AJ160*60)/1440,WORKDAY(INT(AH160),1+INT((AI160+AJ160*60-ROUND('Critérios e pesos'!$C$37*1440,0)-1)/(ROUND('Critérios e pesos'!$C$37*1440,0)-ROUND('Critérios e pesos'!$C$36*1440,0))))+(ROUND('Critérios e pesos'!$C$36*1440,0)+AI160+AJ160*60-ROUND('Critérios e pesos'!$C$37*1440,0)-INT((AI160+AJ160*60-ROUND('Critérios e pesos'!$C$37*1440,0)-1)/(ROUND('Critérios e pesos'!$C$37*1440,0)-ROUND('Critérios e pesos'!$C$36*1440,0)))*(ROUND('Critérios e pesos'!$C$37*1440,0)-ROUND('Critérios e pesos'!$C$36*1440,0)))/1440))</f>
        <v/>
      </c>
      <c r="X160" s="16" t="n"/>
      <c r="Y160" s="14">
        <f>IF(W160="","",IF(X160="",IF(NOW()&gt;W160,"Atrasado","Em espera"),IF(X160&lt;=W160,"No prazo","Atrasado")))</f>
        <v/>
      </c>
      <c r="Z160" s="17" t="n"/>
      <c r="AA160" s="14">
        <f>IF($B160="","",IF(OR(T160="X",AD160&lt;&gt;""),0,MAX(0,MIN(Q160,'Critérios e pesos'!$C$38*INT((TODAY()-IF(Z160&lt;&gt;"",Z160,INT($A160)))/7)))))</f>
        <v/>
      </c>
      <c r="AB160" s="14">
        <f>IF($B160="","",MAX(0,S160-AA160))</f>
        <v/>
      </c>
      <c r="AC160" s="9">
        <f>IF($B160="","",IF(T160="X","X",IF(AB160&gt;='Critérios e pesos'!$C$29,"A",IF(AB160&gt;='Critérios e pesos'!$C$30,"B","C"))))</f>
        <v/>
      </c>
      <c r="AD160" s="4" t="n"/>
      <c r="AE160" s="18" t="n"/>
      <c r="AF160" s="6" t="n"/>
      <c r="AH160">
        <f>IF($A160="","",IF(OR(WEEKDAY($A160,2)&gt;5,ROUND(MOD($A160,1)*1440,0)&gt;=ROUND('Critérios e pesos'!$C$37*1440,0)),WORKDAY(INT($A160),1)+ROUND('Critérios e pesos'!$C$36*1440,0)/1440,IF(ROUND(MOD($A160,1)*1440,0)&lt;ROUND('Critérios e pesos'!$C$36*1440,0),INT($A160)+ROUND('Critérios e pesos'!$C$36*1440,0)/1440,$A160)))</f>
        <v/>
      </c>
      <c r="AI160">
        <f>IF(AH160="","",ROUND(MOD(AH160,1)*1440,0))</f>
        <v/>
      </c>
      <c r="AJ160">
        <f>IF(T160="","",INDEX('Critérios e pesos'!$E$29:$E$32,MATCH(T160,'Critérios e pesos'!$A$29:$A$32,0)))</f>
        <v/>
      </c>
    </row>
    <row r="161">
      <c r="A161" s="13" t="n"/>
      <c r="B161" s="6" t="n"/>
      <c r="C161" s="6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6" t="n"/>
      <c r="O161" s="6" t="n"/>
      <c r="P161" s="14">
        <f>IF($B161="","",(E161="Claro")*'Critérios e pesos'!$G$5+(E161="Em parte")*'Critérios e pesos'!$G$5/2+(F161="Claro")*'Critérios e pesos'!$G$6+(F161="Em parte")*'Critérios e pesos'!$G$6/2+(G161="Claro")*'Critérios e pesos'!$G$7+(G161="Em parte")*'Critérios e pesos'!$G$7/2+(H161="Claro")*'Critérios e pesos'!$G$8+(H161="Em parte")*'Critérios e pesos'!$G$8/2)</f>
        <v/>
      </c>
      <c r="Q161" s="14">
        <f>IF($B161="","",(I161="Claro")*'Critérios e pesos'!$G$9+(I161="Em parte")*'Critérios e pesos'!$G$9/2+(J161="Claro")*'Critérios e pesos'!$G$10+(J161="Em parte")*'Critérios e pesos'!$G$10/2+(K161="Claro")*'Critérios e pesos'!$G$11+(K161="Em parte")*'Critérios e pesos'!$G$11/2+(L161="Claro")*'Critérios e pesos'!$G$12+(L161="Em parte")*'Critérios e pesos'!$G$12/2+(M161="Claro")*'Critérios e pesos'!$G$13+(M161="Em parte")*'Critérios e pesos'!$G$13/2)</f>
        <v/>
      </c>
      <c r="R161" s="14">
        <f>IF($B161="","",IFERROR(VLOOKUP(N161,'Critérios e pesos'!$B$17:$C$20,2,FALSE),0))</f>
        <v/>
      </c>
      <c r="S161" s="9">
        <f>IF($B161="","",MAX(0,P161+Q161+R161))</f>
        <v/>
      </c>
      <c r="T161" s="9">
        <f>IF($B161="","",IF(O161&lt;&gt;"","X",IF(S161&gt;='Critérios e pesos'!$C$29,"A",IF(S161&gt;='Critérios e pesos'!$C$30,"B","C"))))</f>
        <v/>
      </c>
      <c r="U161" s="14">
        <f>IF(T161="","",INDEX('Critérios e pesos'!$D$29:$D$32,MATCH(T161,'Critérios e pesos'!$A$29:$A$32,0)))</f>
        <v/>
      </c>
      <c r="V161" s="14">
        <f>IF(T161="","",INDEX('Critérios e pesos'!$F$29:$F$32,MATCH(T161,'Critérios e pesos'!$A$29:$A$32,0)))</f>
        <v/>
      </c>
      <c r="W161" s="15">
        <f>IF(OR(AH161="",AJ161=""),"",IF(AI161+AJ161*60&lt;=ROUND('Critérios e pesos'!$C$37*1440,0),INT(AH161)+(AI161+AJ161*60)/1440,WORKDAY(INT(AH161),1+INT((AI161+AJ161*60-ROUND('Critérios e pesos'!$C$37*1440,0)-1)/(ROUND('Critérios e pesos'!$C$37*1440,0)-ROUND('Critérios e pesos'!$C$36*1440,0))))+(ROUND('Critérios e pesos'!$C$36*1440,0)+AI161+AJ161*60-ROUND('Critérios e pesos'!$C$37*1440,0)-INT((AI161+AJ161*60-ROUND('Critérios e pesos'!$C$37*1440,0)-1)/(ROUND('Critérios e pesos'!$C$37*1440,0)-ROUND('Critérios e pesos'!$C$36*1440,0)))*(ROUND('Critérios e pesos'!$C$37*1440,0)-ROUND('Critérios e pesos'!$C$36*1440,0)))/1440))</f>
        <v/>
      </c>
      <c r="X161" s="16" t="n"/>
      <c r="Y161" s="14">
        <f>IF(W161="","",IF(X161="",IF(NOW()&gt;W161,"Atrasado","Em espera"),IF(X161&lt;=W161,"No prazo","Atrasado")))</f>
        <v/>
      </c>
      <c r="Z161" s="17" t="n"/>
      <c r="AA161" s="14">
        <f>IF($B161="","",IF(OR(T161="X",AD161&lt;&gt;""),0,MAX(0,MIN(Q161,'Critérios e pesos'!$C$38*INT((TODAY()-IF(Z161&lt;&gt;"",Z161,INT($A161)))/7)))))</f>
        <v/>
      </c>
      <c r="AB161" s="14">
        <f>IF($B161="","",MAX(0,S161-AA161))</f>
        <v/>
      </c>
      <c r="AC161" s="9">
        <f>IF($B161="","",IF(T161="X","X",IF(AB161&gt;='Critérios e pesos'!$C$29,"A",IF(AB161&gt;='Critérios e pesos'!$C$30,"B","C"))))</f>
        <v/>
      </c>
      <c r="AD161" s="4" t="n"/>
      <c r="AE161" s="18" t="n"/>
      <c r="AF161" s="6" t="n"/>
      <c r="AH161">
        <f>IF($A161="","",IF(OR(WEEKDAY($A161,2)&gt;5,ROUND(MOD($A161,1)*1440,0)&gt;=ROUND('Critérios e pesos'!$C$37*1440,0)),WORKDAY(INT($A161),1)+ROUND('Critérios e pesos'!$C$36*1440,0)/1440,IF(ROUND(MOD($A161,1)*1440,0)&lt;ROUND('Critérios e pesos'!$C$36*1440,0),INT($A161)+ROUND('Critérios e pesos'!$C$36*1440,0)/1440,$A161)))</f>
        <v/>
      </c>
      <c r="AI161">
        <f>IF(AH161="","",ROUND(MOD(AH161,1)*1440,0))</f>
        <v/>
      </c>
      <c r="AJ161">
        <f>IF(T161="","",INDEX('Critérios e pesos'!$E$29:$E$32,MATCH(T161,'Critérios e pesos'!$A$29:$A$32,0)))</f>
        <v/>
      </c>
    </row>
    <row r="162">
      <c r="A162" s="13" t="n"/>
      <c r="B162" s="6" t="n"/>
      <c r="C162" s="6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6" t="n"/>
      <c r="O162" s="6" t="n"/>
      <c r="P162" s="14">
        <f>IF($B162="","",(E162="Claro")*'Critérios e pesos'!$G$5+(E162="Em parte")*'Critérios e pesos'!$G$5/2+(F162="Claro")*'Critérios e pesos'!$G$6+(F162="Em parte")*'Critérios e pesos'!$G$6/2+(G162="Claro")*'Critérios e pesos'!$G$7+(G162="Em parte")*'Critérios e pesos'!$G$7/2+(H162="Claro")*'Critérios e pesos'!$G$8+(H162="Em parte")*'Critérios e pesos'!$G$8/2)</f>
        <v/>
      </c>
      <c r="Q162" s="14">
        <f>IF($B162="","",(I162="Claro")*'Critérios e pesos'!$G$9+(I162="Em parte")*'Critérios e pesos'!$G$9/2+(J162="Claro")*'Critérios e pesos'!$G$10+(J162="Em parte")*'Critérios e pesos'!$G$10/2+(K162="Claro")*'Critérios e pesos'!$G$11+(K162="Em parte")*'Critérios e pesos'!$G$11/2+(L162="Claro")*'Critérios e pesos'!$G$12+(L162="Em parte")*'Critérios e pesos'!$G$12/2+(M162="Claro")*'Critérios e pesos'!$G$13+(M162="Em parte")*'Critérios e pesos'!$G$13/2)</f>
        <v/>
      </c>
      <c r="R162" s="14">
        <f>IF($B162="","",IFERROR(VLOOKUP(N162,'Critérios e pesos'!$B$17:$C$20,2,FALSE),0))</f>
        <v/>
      </c>
      <c r="S162" s="9">
        <f>IF($B162="","",MAX(0,P162+Q162+R162))</f>
        <v/>
      </c>
      <c r="T162" s="9">
        <f>IF($B162="","",IF(O162&lt;&gt;"","X",IF(S162&gt;='Critérios e pesos'!$C$29,"A",IF(S162&gt;='Critérios e pesos'!$C$30,"B","C"))))</f>
        <v/>
      </c>
      <c r="U162" s="14">
        <f>IF(T162="","",INDEX('Critérios e pesos'!$D$29:$D$32,MATCH(T162,'Critérios e pesos'!$A$29:$A$32,0)))</f>
        <v/>
      </c>
      <c r="V162" s="14">
        <f>IF(T162="","",INDEX('Critérios e pesos'!$F$29:$F$32,MATCH(T162,'Critérios e pesos'!$A$29:$A$32,0)))</f>
        <v/>
      </c>
      <c r="W162" s="15">
        <f>IF(OR(AH162="",AJ162=""),"",IF(AI162+AJ162*60&lt;=ROUND('Critérios e pesos'!$C$37*1440,0),INT(AH162)+(AI162+AJ162*60)/1440,WORKDAY(INT(AH162),1+INT((AI162+AJ162*60-ROUND('Critérios e pesos'!$C$37*1440,0)-1)/(ROUND('Critérios e pesos'!$C$37*1440,0)-ROUND('Critérios e pesos'!$C$36*1440,0))))+(ROUND('Critérios e pesos'!$C$36*1440,0)+AI162+AJ162*60-ROUND('Critérios e pesos'!$C$37*1440,0)-INT((AI162+AJ162*60-ROUND('Critérios e pesos'!$C$37*1440,0)-1)/(ROUND('Critérios e pesos'!$C$37*1440,0)-ROUND('Critérios e pesos'!$C$36*1440,0)))*(ROUND('Critérios e pesos'!$C$37*1440,0)-ROUND('Critérios e pesos'!$C$36*1440,0)))/1440))</f>
        <v/>
      </c>
      <c r="X162" s="16" t="n"/>
      <c r="Y162" s="14">
        <f>IF(W162="","",IF(X162="",IF(NOW()&gt;W162,"Atrasado","Em espera"),IF(X162&lt;=W162,"No prazo","Atrasado")))</f>
        <v/>
      </c>
      <c r="Z162" s="17" t="n"/>
      <c r="AA162" s="14">
        <f>IF($B162="","",IF(OR(T162="X",AD162&lt;&gt;""),0,MAX(0,MIN(Q162,'Critérios e pesos'!$C$38*INT((TODAY()-IF(Z162&lt;&gt;"",Z162,INT($A162)))/7)))))</f>
        <v/>
      </c>
      <c r="AB162" s="14">
        <f>IF($B162="","",MAX(0,S162-AA162))</f>
        <v/>
      </c>
      <c r="AC162" s="9">
        <f>IF($B162="","",IF(T162="X","X",IF(AB162&gt;='Critérios e pesos'!$C$29,"A",IF(AB162&gt;='Critérios e pesos'!$C$30,"B","C"))))</f>
        <v/>
      </c>
      <c r="AD162" s="4" t="n"/>
      <c r="AE162" s="18" t="n"/>
      <c r="AF162" s="6" t="n"/>
      <c r="AH162">
        <f>IF($A162="","",IF(OR(WEEKDAY($A162,2)&gt;5,ROUND(MOD($A162,1)*1440,0)&gt;=ROUND('Critérios e pesos'!$C$37*1440,0)),WORKDAY(INT($A162),1)+ROUND('Critérios e pesos'!$C$36*1440,0)/1440,IF(ROUND(MOD($A162,1)*1440,0)&lt;ROUND('Critérios e pesos'!$C$36*1440,0),INT($A162)+ROUND('Critérios e pesos'!$C$36*1440,0)/1440,$A162)))</f>
        <v/>
      </c>
      <c r="AI162">
        <f>IF(AH162="","",ROUND(MOD(AH162,1)*1440,0))</f>
        <v/>
      </c>
      <c r="AJ162">
        <f>IF(T162="","",INDEX('Critérios e pesos'!$E$29:$E$32,MATCH(T162,'Critérios e pesos'!$A$29:$A$32,0)))</f>
        <v/>
      </c>
    </row>
    <row r="163">
      <c r="A163" s="13" t="n"/>
      <c r="B163" s="6" t="n"/>
      <c r="C163" s="6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6" t="n"/>
      <c r="O163" s="6" t="n"/>
      <c r="P163" s="14">
        <f>IF($B163="","",(E163="Claro")*'Critérios e pesos'!$G$5+(E163="Em parte")*'Critérios e pesos'!$G$5/2+(F163="Claro")*'Critérios e pesos'!$G$6+(F163="Em parte")*'Critérios e pesos'!$G$6/2+(G163="Claro")*'Critérios e pesos'!$G$7+(G163="Em parte")*'Critérios e pesos'!$G$7/2+(H163="Claro")*'Critérios e pesos'!$G$8+(H163="Em parte")*'Critérios e pesos'!$G$8/2)</f>
        <v/>
      </c>
      <c r="Q163" s="14">
        <f>IF($B163="","",(I163="Claro")*'Critérios e pesos'!$G$9+(I163="Em parte")*'Critérios e pesos'!$G$9/2+(J163="Claro")*'Critérios e pesos'!$G$10+(J163="Em parte")*'Critérios e pesos'!$G$10/2+(K163="Claro")*'Critérios e pesos'!$G$11+(K163="Em parte")*'Critérios e pesos'!$G$11/2+(L163="Claro")*'Critérios e pesos'!$G$12+(L163="Em parte")*'Critérios e pesos'!$G$12/2+(M163="Claro")*'Critérios e pesos'!$G$13+(M163="Em parte")*'Critérios e pesos'!$G$13/2)</f>
        <v/>
      </c>
      <c r="R163" s="14">
        <f>IF($B163="","",IFERROR(VLOOKUP(N163,'Critérios e pesos'!$B$17:$C$20,2,FALSE),0))</f>
        <v/>
      </c>
      <c r="S163" s="9">
        <f>IF($B163="","",MAX(0,P163+Q163+R163))</f>
        <v/>
      </c>
      <c r="T163" s="9">
        <f>IF($B163="","",IF(O163&lt;&gt;"","X",IF(S163&gt;='Critérios e pesos'!$C$29,"A",IF(S163&gt;='Critérios e pesos'!$C$30,"B","C"))))</f>
        <v/>
      </c>
      <c r="U163" s="14">
        <f>IF(T163="","",INDEX('Critérios e pesos'!$D$29:$D$32,MATCH(T163,'Critérios e pesos'!$A$29:$A$32,0)))</f>
        <v/>
      </c>
      <c r="V163" s="14">
        <f>IF(T163="","",INDEX('Critérios e pesos'!$F$29:$F$32,MATCH(T163,'Critérios e pesos'!$A$29:$A$32,0)))</f>
        <v/>
      </c>
      <c r="W163" s="15">
        <f>IF(OR(AH163="",AJ163=""),"",IF(AI163+AJ163*60&lt;=ROUND('Critérios e pesos'!$C$37*1440,0),INT(AH163)+(AI163+AJ163*60)/1440,WORKDAY(INT(AH163),1+INT((AI163+AJ163*60-ROUND('Critérios e pesos'!$C$37*1440,0)-1)/(ROUND('Critérios e pesos'!$C$37*1440,0)-ROUND('Critérios e pesos'!$C$36*1440,0))))+(ROUND('Critérios e pesos'!$C$36*1440,0)+AI163+AJ163*60-ROUND('Critérios e pesos'!$C$37*1440,0)-INT((AI163+AJ163*60-ROUND('Critérios e pesos'!$C$37*1440,0)-1)/(ROUND('Critérios e pesos'!$C$37*1440,0)-ROUND('Critérios e pesos'!$C$36*1440,0)))*(ROUND('Critérios e pesos'!$C$37*1440,0)-ROUND('Critérios e pesos'!$C$36*1440,0)))/1440))</f>
        <v/>
      </c>
      <c r="X163" s="16" t="n"/>
      <c r="Y163" s="14">
        <f>IF(W163="","",IF(X163="",IF(NOW()&gt;W163,"Atrasado","Em espera"),IF(X163&lt;=W163,"No prazo","Atrasado")))</f>
        <v/>
      </c>
      <c r="Z163" s="17" t="n"/>
      <c r="AA163" s="14">
        <f>IF($B163="","",IF(OR(T163="X",AD163&lt;&gt;""),0,MAX(0,MIN(Q163,'Critérios e pesos'!$C$38*INT((TODAY()-IF(Z163&lt;&gt;"",Z163,INT($A163)))/7)))))</f>
        <v/>
      </c>
      <c r="AB163" s="14">
        <f>IF($B163="","",MAX(0,S163-AA163))</f>
        <v/>
      </c>
      <c r="AC163" s="9">
        <f>IF($B163="","",IF(T163="X","X",IF(AB163&gt;='Critérios e pesos'!$C$29,"A",IF(AB163&gt;='Critérios e pesos'!$C$30,"B","C"))))</f>
        <v/>
      </c>
      <c r="AD163" s="4" t="n"/>
      <c r="AE163" s="18" t="n"/>
      <c r="AF163" s="6" t="n"/>
      <c r="AH163">
        <f>IF($A163="","",IF(OR(WEEKDAY($A163,2)&gt;5,ROUND(MOD($A163,1)*1440,0)&gt;=ROUND('Critérios e pesos'!$C$37*1440,0)),WORKDAY(INT($A163),1)+ROUND('Critérios e pesos'!$C$36*1440,0)/1440,IF(ROUND(MOD($A163,1)*1440,0)&lt;ROUND('Critérios e pesos'!$C$36*1440,0),INT($A163)+ROUND('Critérios e pesos'!$C$36*1440,0)/1440,$A163)))</f>
        <v/>
      </c>
      <c r="AI163">
        <f>IF(AH163="","",ROUND(MOD(AH163,1)*1440,0))</f>
        <v/>
      </c>
      <c r="AJ163">
        <f>IF(T163="","",INDEX('Critérios e pesos'!$E$29:$E$32,MATCH(T163,'Critérios e pesos'!$A$29:$A$32,0)))</f>
        <v/>
      </c>
    </row>
    <row r="164">
      <c r="A164" s="13" t="n"/>
      <c r="B164" s="6" t="n"/>
      <c r="C164" s="6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6" t="n"/>
      <c r="O164" s="6" t="n"/>
      <c r="P164" s="14">
        <f>IF($B164="","",(E164="Claro")*'Critérios e pesos'!$G$5+(E164="Em parte")*'Critérios e pesos'!$G$5/2+(F164="Claro")*'Critérios e pesos'!$G$6+(F164="Em parte")*'Critérios e pesos'!$G$6/2+(G164="Claro")*'Critérios e pesos'!$G$7+(G164="Em parte")*'Critérios e pesos'!$G$7/2+(H164="Claro")*'Critérios e pesos'!$G$8+(H164="Em parte")*'Critérios e pesos'!$G$8/2)</f>
        <v/>
      </c>
      <c r="Q164" s="14">
        <f>IF($B164="","",(I164="Claro")*'Critérios e pesos'!$G$9+(I164="Em parte")*'Critérios e pesos'!$G$9/2+(J164="Claro")*'Critérios e pesos'!$G$10+(J164="Em parte")*'Critérios e pesos'!$G$10/2+(K164="Claro")*'Critérios e pesos'!$G$11+(K164="Em parte")*'Critérios e pesos'!$G$11/2+(L164="Claro")*'Critérios e pesos'!$G$12+(L164="Em parte")*'Critérios e pesos'!$G$12/2+(M164="Claro")*'Critérios e pesos'!$G$13+(M164="Em parte")*'Critérios e pesos'!$G$13/2)</f>
        <v/>
      </c>
      <c r="R164" s="14">
        <f>IF($B164="","",IFERROR(VLOOKUP(N164,'Critérios e pesos'!$B$17:$C$20,2,FALSE),0))</f>
        <v/>
      </c>
      <c r="S164" s="9">
        <f>IF($B164="","",MAX(0,P164+Q164+R164))</f>
        <v/>
      </c>
      <c r="T164" s="9">
        <f>IF($B164="","",IF(O164&lt;&gt;"","X",IF(S164&gt;='Critérios e pesos'!$C$29,"A",IF(S164&gt;='Critérios e pesos'!$C$30,"B","C"))))</f>
        <v/>
      </c>
      <c r="U164" s="14">
        <f>IF(T164="","",INDEX('Critérios e pesos'!$D$29:$D$32,MATCH(T164,'Critérios e pesos'!$A$29:$A$32,0)))</f>
        <v/>
      </c>
      <c r="V164" s="14">
        <f>IF(T164="","",INDEX('Critérios e pesos'!$F$29:$F$32,MATCH(T164,'Critérios e pesos'!$A$29:$A$32,0)))</f>
        <v/>
      </c>
      <c r="W164" s="15">
        <f>IF(OR(AH164="",AJ164=""),"",IF(AI164+AJ164*60&lt;=ROUND('Critérios e pesos'!$C$37*1440,0),INT(AH164)+(AI164+AJ164*60)/1440,WORKDAY(INT(AH164),1+INT((AI164+AJ164*60-ROUND('Critérios e pesos'!$C$37*1440,0)-1)/(ROUND('Critérios e pesos'!$C$37*1440,0)-ROUND('Critérios e pesos'!$C$36*1440,0))))+(ROUND('Critérios e pesos'!$C$36*1440,0)+AI164+AJ164*60-ROUND('Critérios e pesos'!$C$37*1440,0)-INT((AI164+AJ164*60-ROUND('Critérios e pesos'!$C$37*1440,0)-1)/(ROUND('Critérios e pesos'!$C$37*1440,0)-ROUND('Critérios e pesos'!$C$36*1440,0)))*(ROUND('Critérios e pesos'!$C$37*1440,0)-ROUND('Critérios e pesos'!$C$36*1440,0)))/1440))</f>
        <v/>
      </c>
      <c r="X164" s="16" t="n"/>
      <c r="Y164" s="14">
        <f>IF(W164="","",IF(X164="",IF(NOW()&gt;W164,"Atrasado","Em espera"),IF(X164&lt;=W164,"No prazo","Atrasado")))</f>
        <v/>
      </c>
      <c r="Z164" s="17" t="n"/>
      <c r="AA164" s="14">
        <f>IF($B164="","",IF(OR(T164="X",AD164&lt;&gt;""),0,MAX(0,MIN(Q164,'Critérios e pesos'!$C$38*INT((TODAY()-IF(Z164&lt;&gt;"",Z164,INT($A164)))/7)))))</f>
        <v/>
      </c>
      <c r="AB164" s="14">
        <f>IF($B164="","",MAX(0,S164-AA164))</f>
        <v/>
      </c>
      <c r="AC164" s="9">
        <f>IF($B164="","",IF(T164="X","X",IF(AB164&gt;='Critérios e pesos'!$C$29,"A",IF(AB164&gt;='Critérios e pesos'!$C$30,"B","C"))))</f>
        <v/>
      </c>
      <c r="AD164" s="4" t="n"/>
      <c r="AE164" s="18" t="n"/>
      <c r="AF164" s="6" t="n"/>
      <c r="AH164">
        <f>IF($A164="","",IF(OR(WEEKDAY($A164,2)&gt;5,ROUND(MOD($A164,1)*1440,0)&gt;=ROUND('Critérios e pesos'!$C$37*1440,0)),WORKDAY(INT($A164),1)+ROUND('Critérios e pesos'!$C$36*1440,0)/1440,IF(ROUND(MOD($A164,1)*1440,0)&lt;ROUND('Critérios e pesos'!$C$36*1440,0),INT($A164)+ROUND('Critérios e pesos'!$C$36*1440,0)/1440,$A164)))</f>
        <v/>
      </c>
      <c r="AI164">
        <f>IF(AH164="","",ROUND(MOD(AH164,1)*1440,0))</f>
        <v/>
      </c>
      <c r="AJ164">
        <f>IF(T164="","",INDEX('Critérios e pesos'!$E$29:$E$32,MATCH(T164,'Critérios e pesos'!$A$29:$A$32,0)))</f>
        <v/>
      </c>
    </row>
    <row r="165">
      <c r="A165" s="13" t="n"/>
      <c r="B165" s="6" t="n"/>
      <c r="C165" s="6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6" t="n"/>
      <c r="O165" s="6" t="n"/>
      <c r="P165" s="14">
        <f>IF($B165="","",(E165="Claro")*'Critérios e pesos'!$G$5+(E165="Em parte")*'Critérios e pesos'!$G$5/2+(F165="Claro")*'Critérios e pesos'!$G$6+(F165="Em parte")*'Critérios e pesos'!$G$6/2+(G165="Claro")*'Critérios e pesos'!$G$7+(G165="Em parte")*'Critérios e pesos'!$G$7/2+(H165="Claro")*'Critérios e pesos'!$G$8+(H165="Em parte")*'Critérios e pesos'!$G$8/2)</f>
        <v/>
      </c>
      <c r="Q165" s="14">
        <f>IF($B165="","",(I165="Claro")*'Critérios e pesos'!$G$9+(I165="Em parte")*'Critérios e pesos'!$G$9/2+(J165="Claro")*'Critérios e pesos'!$G$10+(J165="Em parte")*'Critérios e pesos'!$G$10/2+(K165="Claro")*'Critérios e pesos'!$G$11+(K165="Em parte")*'Critérios e pesos'!$G$11/2+(L165="Claro")*'Critérios e pesos'!$G$12+(L165="Em parte")*'Critérios e pesos'!$G$12/2+(M165="Claro")*'Critérios e pesos'!$G$13+(M165="Em parte")*'Critérios e pesos'!$G$13/2)</f>
        <v/>
      </c>
      <c r="R165" s="14">
        <f>IF($B165="","",IFERROR(VLOOKUP(N165,'Critérios e pesos'!$B$17:$C$20,2,FALSE),0))</f>
        <v/>
      </c>
      <c r="S165" s="9">
        <f>IF($B165="","",MAX(0,P165+Q165+R165))</f>
        <v/>
      </c>
      <c r="T165" s="9">
        <f>IF($B165="","",IF(O165&lt;&gt;"","X",IF(S165&gt;='Critérios e pesos'!$C$29,"A",IF(S165&gt;='Critérios e pesos'!$C$30,"B","C"))))</f>
        <v/>
      </c>
      <c r="U165" s="14">
        <f>IF(T165="","",INDEX('Critérios e pesos'!$D$29:$D$32,MATCH(T165,'Critérios e pesos'!$A$29:$A$32,0)))</f>
        <v/>
      </c>
      <c r="V165" s="14">
        <f>IF(T165="","",INDEX('Critérios e pesos'!$F$29:$F$32,MATCH(T165,'Critérios e pesos'!$A$29:$A$32,0)))</f>
        <v/>
      </c>
      <c r="W165" s="15">
        <f>IF(OR(AH165="",AJ165=""),"",IF(AI165+AJ165*60&lt;=ROUND('Critérios e pesos'!$C$37*1440,0),INT(AH165)+(AI165+AJ165*60)/1440,WORKDAY(INT(AH165),1+INT((AI165+AJ165*60-ROUND('Critérios e pesos'!$C$37*1440,0)-1)/(ROUND('Critérios e pesos'!$C$37*1440,0)-ROUND('Critérios e pesos'!$C$36*1440,0))))+(ROUND('Critérios e pesos'!$C$36*1440,0)+AI165+AJ165*60-ROUND('Critérios e pesos'!$C$37*1440,0)-INT((AI165+AJ165*60-ROUND('Critérios e pesos'!$C$37*1440,0)-1)/(ROUND('Critérios e pesos'!$C$37*1440,0)-ROUND('Critérios e pesos'!$C$36*1440,0)))*(ROUND('Critérios e pesos'!$C$37*1440,0)-ROUND('Critérios e pesos'!$C$36*1440,0)))/1440))</f>
        <v/>
      </c>
      <c r="X165" s="16" t="n"/>
      <c r="Y165" s="14">
        <f>IF(W165="","",IF(X165="",IF(NOW()&gt;W165,"Atrasado","Em espera"),IF(X165&lt;=W165,"No prazo","Atrasado")))</f>
        <v/>
      </c>
      <c r="Z165" s="17" t="n"/>
      <c r="AA165" s="14">
        <f>IF($B165="","",IF(OR(T165="X",AD165&lt;&gt;""),0,MAX(0,MIN(Q165,'Critérios e pesos'!$C$38*INT((TODAY()-IF(Z165&lt;&gt;"",Z165,INT($A165)))/7)))))</f>
        <v/>
      </c>
      <c r="AB165" s="14">
        <f>IF($B165="","",MAX(0,S165-AA165))</f>
        <v/>
      </c>
      <c r="AC165" s="9">
        <f>IF($B165="","",IF(T165="X","X",IF(AB165&gt;='Critérios e pesos'!$C$29,"A",IF(AB165&gt;='Critérios e pesos'!$C$30,"B","C"))))</f>
        <v/>
      </c>
      <c r="AD165" s="4" t="n"/>
      <c r="AE165" s="18" t="n"/>
      <c r="AF165" s="6" t="n"/>
      <c r="AH165">
        <f>IF($A165="","",IF(OR(WEEKDAY($A165,2)&gt;5,ROUND(MOD($A165,1)*1440,0)&gt;=ROUND('Critérios e pesos'!$C$37*1440,0)),WORKDAY(INT($A165),1)+ROUND('Critérios e pesos'!$C$36*1440,0)/1440,IF(ROUND(MOD($A165,1)*1440,0)&lt;ROUND('Critérios e pesos'!$C$36*1440,0),INT($A165)+ROUND('Critérios e pesos'!$C$36*1440,0)/1440,$A165)))</f>
        <v/>
      </c>
      <c r="AI165">
        <f>IF(AH165="","",ROUND(MOD(AH165,1)*1440,0))</f>
        <v/>
      </c>
      <c r="AJ165">
        <f>IF(T165="","",INDEX('Critérios e pesos'!$E$29:$E$32,MATCH(T165,'Critérios e pesos'!$A$29:$A$32,0)))</f>
        <v/>
      </c>
    </row>
    <row r="166">
      <c r="A166" s="13" t="n"/>
      <c r="B166" s="6" t="n"/>
      <c r="C166" s="6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6" t="n"/>
      <c r="O166" s="6" t="n"/>
      <c r="P166" s="14">
        <f>IF($B166="","",(E166="Claro")*'Critérios e pesos'!$G$5+(E166="Em parte")*'Critérios e pesos'!$G$5/2+(F166="Claro")*'Critérios e pesos'!$G$6+(F166="Em parte")*'Critérios e pesos'!$G$6/2+(G166="Claro")*'Critérios e pesos'!$G$7+(G166="Em parte")*'Critérios e pesos'!$G$7/2+(H166="Claro")*'Critérios e pesos'!$G$8+(H166="Em parte")*'Critérios e pesos'!$G$8/2)</f>
        <v/>
      </c>
      <c r="Q166" s="14">
        <f>IF($B166="","",(I166="Claro")*'Critérios e pesos'!$G$9+(I166="Em parte")*'Critérios e pesos'!$G$9/2+(J166="Claro")*'Critérios e pesos'!$G$10+(J166="Em parte")*'Critérios e pesos'!$G$10/2+(K166="Claro")*'Critérios e pesos'!$G$11+(K166="Em parte")*'Critérios e pesos'!$G$11/2+(L166="Claro")*'Critérios e pesos'!$G$12+(L166="Em parte")*'Critérios e pesos'!$G$12/2+(M166="Claro")*'Critérios e pesos'!$G$13+(M166="Em parte")*'Critérios e pesos'!$G$13/2)</f>
        <v/>
      </c>
      <c r="R166" s="14">
        <f>IF($B166="","",IFERROR(VLOOKUP(N166,'Critérios e pesos'!$B$17:$C$20,2,FALSE),0))</f>
        <v/>
      </c>
      <c r="S166" s="9">
        <f>IF($B166="","",MAX(0,P166+Q166+R166))</f>
        <v/>
      </c>
      <c r="T166" s="9">
        <f>IF($B166="","",IF(O166&lt;&gt;"","X",IF(S166&gt;='Critérios e pesos'!$C$29,"A",IF(S166&gt;='Critérios e pesos'!$C$30,"B","C"))))</f>
        <v/>
      </c>
      <c r="U166" s="14">
        <f>IF(T166="","",INDEX('Critérios e pesos'!$D$29:$D$32,MATCH(T166,'Critérios e pesos'!$A$29:$A$32,0)))</f>
        <v/>
      </c>
      <c r="V166" s="14">
        <f>IF(T166="","",INDEX('Critérios e pesos'!$F$29:$F$32,MATCH(T166,'Critérios e pesos'!$A$29:$A$32,0)))</f>
        <v/>
      </c>
      <c r="W166" s="15">
        <f>IF(OR(AH166="",AJ166=""),"",IF(AI166+AJ166*60&lt;=ROUND('Critérios e pesos'!$C$37*1440,0),INT(AH166)+(AI166+AJ166*60)/1440,WORKDAY(INT(AH166),1+INT((AI166+AJ166*60-ROUND('Critérios e pesos'!$C$37*1440,0)-1)/(ROUND('Critérios e pesos'!$C$37*1440,0)-ROUND('Critérios e pesos'!$C$36*1440,0))))+(ROUND('Critérios e pesos'!$C$36*1440,0)+AI166+AJ166*60-ROUND('Critérios e pesos'!$C$37*1440,0)-INT((AI166+AJ166*60-ROUND('Critérios e pesos'!$C$37*1440,0)-1)/(ROUND('Critérios e pesos'!$C$37*1440,0)-ROUND('Critérios e pesos'!$C$36*1440,0)))*(ROUND('Critérios e pesos'!$C$37*1440,0)-ROUND('Critérios e pesos'!$C$36*1440,0)))/1440))</f>
        <v/>
      </c>
      <c r="X166" s="16" t="n"/>
      <c r="Y166" s="14">
        <f>IF(W166="","",IF(X166="",IF(NOW()&gt;W166,"Atrasado","Em espera"),IF(X166&lt;=W166,"No prazo","Atrasado")))</f>
        <v/>
      </c>
      <c r="Z166" s="17" t="n"/>
      <c r="AA166" s="14">
        <f>IF($B166="","",IF(OR(T166="X",AD166&lt;&gt;""),0,MAX(0,MIN(Q166,'Critérios e pesos'!$C$38*INT((TODAY()-IF(Z166&lt;&gt;"",Z166,INT($A166)))/7)))))</f>
        <v/>
      </c>
      <c r="AB166" s="14">
        <f>IF($B166="","",MAX(0,S166-AA166))</f>
        <v/>
      </c>
      <c r="AC166" s="9">
        <f>IF($B166="","",IF(T166="X","X",IF(AB166&gt;='Critérios e pesos'!$C$29,"A",IF(AB166&gt;='Critérios e pesos'!$C$30,"B","C"))))</f>
        <v/>
      </c>
      <c r="AD166" s="4" t="n"/>
      <c r="AE166" s="18" t="n"/>
      <c r="AF166" s="6" t="n"/>
      <c r="AH166">
        <f>IF($A166="","",IF(OR(WEEKDAY($A166,2)&gt;5,ROUND(MOD($A166,1)*1440,0)&gt;=ROUND('Critérios e pesos'!$C$37*1440,0)),WORKDAY(INT($A166),1)+ROUND('Critérios e pesos'!$C$36*1440,0)/1440,IF(ROUND(MOD($A166,1)*1440,0)&lt;ROUND('Critérios e pesos'!$C$36*1440,0),INT($A166)+ROUND('Critérios e pesos'!$C$36*1440,0)/1440,$A166)))</f>
        <v/>
      </c>
      <c r="AI166">
        <f>IF(AH166="","",ROUND(MOD(AH166,1)*1440,0))</f>
        <v/>
      </c>
      <c r="AJ166">
        <f>IF(T166="","",INDEX('Critérios e pesos'!$E$29:$E$32,MATCH(T166,'Critérios e pesos'!$A$29:$A$32,0)))</f>
        <v/>
      </c>
    </row>
    <row r="167">
      <c r="A167" s="13" t="n"/>
      <c r="B167" s="6" t="n"/>
      <c r="C167" s="6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6" t="n"/>
      <c r="O167" s="6" t="n"/>
      <c r="P167" s="14">
        <f>IF($B167="","",(E167="Claro")*'Critérios e pesos'!$G$5+(E167="Em parte")*'Critérios e pesos'!$G$5/2+(F167="Claro")*'Critérios e pesos'!$G$6+(F167="Em parte")*'Critérios e pesos'!$G$6/2+(G167="Claro")*'Critérios e pesos'!$G$7+(G167="Em parte")*'Critérios e pesos'!$G$7/2+(H167="Claro")*'Critérios e pesos'!$G$8+(H167="Em parte")*'Critérios e pesos'!$G$8/2)</f>
        <v/>
      </c>
      <c r="Q167" s="14">
        <f>IF($B167="","",(I167="Claro")*'Critérios e pesos'!$G$9+(I167="Em parte")*'Critérios e pesos'!$G$9/2+(J167="Claro")*'Critérios e pesos'!$G$10+(J167="Em parte")*'Critérios e pesos'!$G$10/2+(K167="Claro")*'Critérios e pesos'!$G$11+(K167="Em parte")*'Critérios e pesos'!$G$11/2+(L167="Claro")*'Critérios e pesos'!$G$12+(L167="Em parte")*'Critérios e pesos'!$G$12/2+(M167="Claro")*'Critérios e pesos'!$G$13+(M167="Em parte")*'Critérios e pesos'!$G$13/2)</f>
        <v/>
      </c>
      <c r="R167" s="14">
        <f>IF($B167="","",IFERROR(VLOOKUP(N167,'Critérios e pesos'!$B$17:$C$20,2,FALSE),0))</f>
        <v/>
      </c>
      <c r="S167" s="9">
        <f>IF($B167="","",MAX(0,P167+Q167+R167))</f>
        <v/>
      </c>
      <c r="T167" s="9">
        <f>IF($B167="","",IF(O167&lt;&gt;"","X",IF(S167&gt;='Critérios e pesos'!$C$29,"A",IF(S167&gt;='Critérios e pesos'!$C$30,"B","C"))))</f>
        <v/>
      </c>
      <c r="U167" s="14">
        <f>IF(T167="","",INDEX('Critérios e pesos'!$D$29:$D$32,MATCH(T167,'Critérios e pesos'!$A$29:$A$32,0)))</f>
        <v/>
      </c>
      <c r="V167" s="14">
        <f>IF(T167="","",INDEX('Critérios e pesos'!$F$29:$F$32,MATCH(T167,'Critérios e pesos'!$A$29:$A$32,0)))</f>
        <v/>
      </c>
      <c r="W167" s="15">
        <f>IF(OR(AH167="",AJ167=""),"",IF(AI167+AJ167*60&lt;=ROUND('Critérios e pesos'!$C$37*1440,0),INT(AH167)+(AI167+AJ167*60)/1440,WORKDAY(INT(AH167),1+INT((AI167+AJ167*60-ROUND('Critérios e pesos'!$C$37*1440,0)-1)/(ROUND('Critérios e pesos'!$C$37*1440,0)-ROUND('Critérios e pesos'!$C$36*1440,0))))+(ROUND('Critérios e pesos'!$C$36*1440,0)+AI167+AJ167*60-ROUND('Critérios e pesos'!$C$37*1440,0)-INT((AI167+AJ167*60-ROUND('Critérios e pesos'!$C$37*1440,0)-1)/(ROUND('Critérios e pesos'!$C$37*1440,0)-ROUND('Critérios e pesos'!$C$36*1440,0)))*(ROUND('Critérios e pesos'!$C$37*1440,0)-ROUND('Critérios e pesos'!$C$36*1440,0)))/1440))</f>
        <v/>
      </c>
      <c r="X167" s="16" t="n"/>
      <c r="Y167" s="14">
        <f>IF(W167="","",IF(X167="",IF(NOW()&gt;W167,"Atrasado","Em espera"),IF(X167&lt;=W167,"No prazo","Atrasado")))</f>
        <v/>
      </c>
      <c r="Z167" s="17" t="n"/>
      <c r="AA167" s="14">
        <f>IF($B167="","",IF(OR(T167="X",AD167&lt;&gt;""),0,MAX(0,MIN(Q167,'Critérios e pesos'!$C$38*INT((TODAY()-IF(Z167&lt;&gt;"",Z167,INT($A167)))/7)))))</f>
        <v/>
      </c>
      <c r="AB167" s="14">
        <f>IF($B167="","",MAX(0,S167-AA167))</f>
        <v/>
      </c>
      <c r="AC167" s="9">
        <f>IF($B167="","",IF(T167="X","X",IF(AB167&gt;='Critérios e pesos'!$C$29,"A",IF(AB167&gt;='Critérios e pesos'!$C$30,"B","C"))))</f>
        <v/>
      </c>
      <c r="AD167" s="4" t="n"/>
      <c r="AE167" s="18" t="n"/>
      <c r="AF167" s="6" t="n"/>
      <c r="AH167">
        <f>IF($A167="","",IF(OR(WEEKDAY($A167,2)&gt;5,ROUND(MOD($A167,1)*1440,0)&gt;=ROUND('Critérios e pesos'!$C$37*1440,0)),WORKDAY(INT($A167),1)+ROUND('Critérios e pesos'!$C$36*1440,0)/1440,IF(ROUND(MOD($A167,1)*1440,0)&lt;ROUND('Critérios e pesos'!$C$36*1440,0),INT($A167)+ROUND('Critérios e pesos'!$C$36*1440,0)/1440,$A167)))</f>
        <v/>
      </c>
      <c r="AI167">
        <f>IF(AH167="","",ROUND(MOD(AH167,1)*1440,0))</f>
        <v/>
      </c>
      <c r="AJ167">
        <f>IF(T167="","",INDEX('Critérios e pesos'!$E$29:$E$32,MATCH(T167,'Critérios e pesos'!$A$29:$A$32,0)))</f>
        <v/>
      </c>
    </row>
    <row r="168">
      <c r="A168" s="13" t="n"/>
      <c r="B168" s="6" t="n"/>
      <c r="C168" s="6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6" t="n"/>
      <c r="O168" s="6" t="n"/>
      <c r="P168" s="14">
        <f>IF($B168="","",(E168="Claro")*'Critérios e pesos'!$G$5+(E168="Em parte")*'Critérios e pesos'!$G$5/2+(F168="Claro")*'Critérios e pesos'!$G$6+(F168="Em parte")*'Critérios e pesos'!$G$6/2+(G168="Claro")*'Critérios e pesos'!$G$7+(G168="Em parte")*'Critérios e pesos'!$G$7/2+(H168="Claro")*'Critérios e pesos'!$G$8+(H168="Em parte")*'Critérios e pesos'!$G$8/2)</f>
        <v/>
      </c>
      <c r="Q168" s="14">
        <f>IF($B168="","",(I168="Claro")*'Critérios e pesos'!$G$9+(I168="Em parte")*'Critérios e pesos'!$G$9/2+(J168="Claro")*'Critérios e pesos'!$G$10+(J168="Em parte")*'Critérios e pesos'!$G$10/2+(K168="Claro")*'Critérios e pesos'!$G$11+(K168="Em parte")*'Critérios e pesos'!$G$11/2+(L168="Claro")*'Critérios e pesos'!$G$12+(L168="Em parte")*'Critérios e pesos'!$G$12/2+(M168="Claro")*'Critérios e pesos'!$G$13+(M168="Em parte")*'Critérios e pesos'!$G$13/2)</f>
        <v/>
      </c>
      <c r="R168" s="14">
        <f>IF($B168="","",IFERROR(VLOOKUP(N168,'Critérios e pesos'!$B$17:$C$20,2,FALSE),0))</f>
        <v/>
      </c>
      <c r="S168" s="9">
        <f>IF($B168="","",MAX(0,P168+Q168+R168))</f>
        <v/>
      </c>
      <c r="T168" s="9">
        <f>IF($B168="","",IF(O168&lt;&gt;"","X",IF(S168&gt;='Critérios e pesos'!$C$29,"A",IF(S168&gt;='Critérios e pesos'!$C$30,"B","C"))))</f>
        <v/>
      </c>
      <c r="U168" s="14">
        <f>IF(T168="","",INDEX('Critérios e pesos'!$D$29:$D$32,MATCH(T168,'Critérios e pesos'!$A$29:$A$32,0)))</f>
        <v/>
      </c>
      <c r="V168" s="14">
        <f>IF(T168="","",INDEX('Critérios e pesos'!$F$29:$F$32,MATCH(T168,'Critérios e pesos'!$A$29:$A$32,0)))</f>
        <v/>
      </c>
      <c r="W168" s="15">
        <f>IF(OR(AH168="",AJ168=""),"",IF(AI168+AJ168*60&lt;=ROUND('Critérios e pesos'!$C$37*1440,0),INT(AH168)+(AI168+AJ168*60)/1440,WORKDAY(INT(AH168),1+INT((AI168+AJ168*60-ROUND('Critérios e pesos'!$C$37*1440,0)-1)/(ROUND('Critérios e pesos'!$C$37*1440,0)-ROUND('Critérios e pesos'!$C$36*1440,0))))+(ROUND('Critérios e pesos'!$C$36*1440,0)+AI168+AJ168*60-ROUND('Critérios e pesos'!$C$37*1440,0)-INT((AI168+AJ168*60-ROUND('Critérios e pesos'!$C$37*1440,0)-1)/(ROUND('Critérios e pesos'!$C$37*1440,0)-ROUND('Critérios e pesos'!$C$36*1440,0)))*(ROUND('Critérios e pesos'!$C$37*1440,0)-ROUND('Critérios e pesos'!$C$36*1440,0)))/1440))</f>
        <v/>
      </c>
      <c r="X168" s="16" t="n"/>
      <c r="Y168" s="14">
        <f>IF(W168="","",IF(X168="",IF(NOW()&gt;W168,"Atrasado","Em espera"),IF(X168&lt;=W168,"No prazo","Atrasado")))</f>
        <v/>
      </c>
      <c r="Z168" s="17" t="n"/>
      <c r="AA168" s="14">
        <f>IF($B168="","",IF(OR(T168="X",AD168&lt;&gt;""),0,MAX(0,MIN(Q168,'Critérios e pesos'!$C$38*INT((TODAY()-IF(Z168&lt;&gt;"",Z168,INT($A168)))/7)))))</f>
        <v/>
      </c>
      <c r="AB168" s="14">
        <f>IF($B168="","",MAX(0,S168-AA168))</f>
        <v/>
      </c>
      <c r="AC168" s="9">
        <f>IF($B168="","",IF(T168="X","X",IF(AB168&gt;='Critérios e pesos'!$C$29,"A",IF(AB168&gt;='Critérios e pesos'!$C$30,"B","C"))))</f>
        <v/>
      </c>
      <c r="AD168" s="4" t="n"/>
      <c r="AE168" s="18" t="n"/>
      <c r="AF168" s="6" t="n"/>
      <c r="AH168">
        <f>IF($A168="","",IF(OR(WEEKDAY($A168,2)&gt;5,ROUND(MOD($A168,1)*1440,0)&gt;=ROUND('Critérios e pesos'!$C$37*1440,0)),WORKDAY(INT($A168),1)+ROUND('Critérios e pesos'!$C$36*1440,0)/1440,IF(ROUND(MOD($A168,1)*1440,0)&lt;ROUND('Critérios e pesos'!$C$36*1440,0),INT($A168)+ROUND('Critérios e pesos'!$C$36*1440,0)/1440,$A168)))</f>
        <v/>
      </c>
      <c r="AI168">
        <f>IF(AH168="","",ROUND(MOD(AH168,1)*1440,0))</f>
        <v/>
      </c>
      <c r="AJ168">
        <f>IF(T168="","",INDEX('Critérios e pesos'!$E$29:$E$32,MATCH(T168,'Critérios e pesos'!$A$29:$A$32,0)))</f>
        <v/>
      </c>
    </row>
    <row r="169">
      <c r="A169" s="13" t="n"/>
      <c r="B169" s="6" t="n"/>
      <c r="C169" s="6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6" t="n"/>
      <c r="O169" s="6" t="n"/>
      <c r="P169" s="14">
        <f>IF($B169="","",(E169="Claro")*'Critérios e pesos'!$G$5+(E169="Em parte")*'Critérios e pesos'!$G$5/2+(F169="Claro")*'Critérios e pesos'!$G$6+(F169="Em parte")*'Critérios e pesos'!$G$6/2+(G169="Claro")*'Critérios e pesos'!$G$7+(G169="Em parte")*'Critérios e pesos'!$G$7/2+(H169="Claro")*'Critérios e pesos'!$G$8+(H169="Em parte")*'Critérios e pesos'!$G$8/2)</f>
        <v/>
      </c>
      <c r="Q169" s="14">
        <f>IF($B169="","",(I169="Claro")*'Critérios e pesos'!$G$9+(I169="Em parte")*'Critérios e pesos'!$G$9/2+(J169="Claro")*'Critérios e pesos'!$G$10+(J169="Em parte")*'Critérios e pesos'!$G$10/2+(K169="Claro")*'Critérios e pesos'!$G$11+(K169="Em parte")*'Critérios e pesos'!$G$11/2+(L169="Claro")*'Critérios e pesos'!$G$12+(L169="Em parte")*'Critérios e pesos'!$G$12/2+(M169="Claro")*'Critérios e pesos'!$G$13+(M169="Em parte")*'Critérios e pesos'!$G$13/2)</f>
        <v/>
      </c>
      <c r="R169" s="14">
        <f>IF($B169="","",IFERROR(VLOOKUP(N169,'Critérios e pesos'!$B$17:$C$20,2,FALSE),0))</f>
        <v/>
      </c>
      <c r="S169" s="9">
        <f>IF($B169="","",MAX(0,P169+Q169+R169))</f>
        <v/>
      </c>
      <c r="T169" s="9">
        <f>IF($B169="","",IF(O169&lt;&gt;"","X",IF(S169&gt;='Critérios e pesos'!$C$29,"A",IF(S169&gt;='Critérios e pesos'!$C$30,"B","C"))))</f>
        <v/>
      </c>
      <c r="U169" s="14">
        <f>IF(T169="","",INDEX('Critérios e pesos'!$D$29:$D$32,MATCH(T169,'Critérios e pesos'!$A$29:$A$32,0)))</f>
        <v/>
      </c>
      <c r="V169" s="14">
        <f>IF(T169="","",INDEX('Critérios e pesos'!$F$29:$F$32,MATCH(T169,'Critérios e pesos'!$A$29:$A$32,0)))</f>
        <v/>
      </c>
      <c r="W169" s="15">
        <f>IF(OR(AH169="",AJ169=""),"",IF(AI169+AJ169*60&lt;=ROUND('Critérios e pesos'!$C$37*1440,0),INT(AH169)+(AI169+AJ169*60)/1440,WORKDAY(INT(AH169),1+INT((AI169+AJ169*60-ROUND('Critérios e pesos'!$C$37*1440,0)-1)/(ROUND('Critérios e pesos'!$C$37*1440,0)-ROUND('Critérios e pesos'!$C$36*1440,0))))+(ROUND('Critérios e pesos'!$C$36*1440,0)+AI169+AJ169*60-ROUND('Critérios e pesos'!$C$37*1440,0)-INT((AI169+AJ169*60-ROUND('Critérios e pesos'!$C$37*1440,0)-1)/(ROUND('Critérios e pesos'!$C$37*1440,0)-ROUND('Critérios e pesos'!$C$36*1440,0)))*(ROUND('Critérios e pesos'!$C$37*1440,0)-ROUND('Critérios e pesos'!$C$36*1440,0)))/1440))</f>
        <v/>
      </c>
      <c r="X169" s="16" t="n"/>
      <c r="Y169" s="14">
        <f>IF(W169="","",IF(X169="",IF(NOW()&gt;W169,"Atrasado","Em espera"),IF(X169&lt;=W169,"No prazo","Atrasado")))</f>
        <v/>
      </c>
      <c r="Z169" s="17" t="n"/>
      <c r="AA169" s="14">
        <f>IF($B169="","",IF(OR(T169="X",AD169&lt;&gt;""),0,MAX(0,MIN(Q169,'Critérios e pesos'!$C$38*INT((TODAY()-IF(Z169&lt;&gt;"",Z169,INT($A169)))/7)))))</f>
        <v/>
      </c>
      <c r="AB169" s="14">
        <f>IF($B169="","",MAX(0,S169-AA169))</f>
        <v/>
      </c>
      <c r="AC169" s="9">
        <f>IF($B169="","",IF(T169="X","X",IF(AB169&gt;='Critérios e pesos'!$C$29,"A",IF(AB169&gt;='Critérios e pesos'!$C$30,"B","C"))))</f>
        <v/>
      </c>
      <c r="AD169" s="4" t="n"/>
      <c r="AE169" s="18" t="n"/>
      <c r="AF169" s="6" t="n"/>
      <c r="AH169">
        <f>IF($A169="","",IF(OR(WEEKDAY($A169,2)&gt;5,ROUND(MOD($A169,1)*1440,0)&gt;=ROUND('Critérios e pesos'!$C$37*1440,0)),WORKDAY(INT($A169),1)+ROUND('Critérios e pesos'!$C$36*1440,0)/1440,IF(ROUND(MOD($A169,1)*1440,0)&lt;ROUND('Critérios e pesos'!$C$36*1440,0),INT($A169)+ROUND('Critérios e pesos'!$C$36*1440,0)/1440,$A169)))</f>
        <v/>
      </c>
      <c r="AI169">
        <f>IF(AH169="","",ROUND(MOD(AH169,1)*1440,0))</f>
        <v/>
      </c>
      <c r="AJ169">
        <f>IF(T169="","",INDEX('Critérios e pesos'!$E$29:$E$32,MATCH(T169,'Critérios e pesos'!$A$29:$A$32,0)))</f>
        <v/>
      </c>
    </row>
    <row r="170">
      <c r="A170" s="13" t="n"/>
      <c r="B170" s="6" t="n"/>
      <c r="C170" s="6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6" t="n"/>
      <c r="O170" s="6" t="n"/>
      <c r="P170" s="14">
        <f>IF($B170="","",(E170="Claro")*'Critérios e pesos'!$G$5+(E170="Em parte")*'Critérios e pesos'!$G$5/2+(F170="Claro")*'Critérios e pesos'!$G$6+(F170="Em parte")*'Critérios e pesos'!$G$6/2+(G170="Claro")*'Critérios e pesos'!$G$7+(G170="Em parte")*'Critérios e pesos'!$G$7/2+(H170="Claro")*'Critérios e pesos'!$G$8+(H170="Em parte")*'Critérios e pesos'!$G$8/2)</f>
        <v/>
      </c>
      <c r="Q170" s="14">
        <f>IF($B170="","",(I170="Claro")*'Critérios e pesos'!$G$9+(I170="Em parte")*'Critérios e pesos'!$G$9/2+(J170="Claro")*'Critérios e pesos'!$G$10+(J170="Em parte")*'Critérios e pesos'!$G$10/2+(K170="Claro")*'Critérios e pesos'!$G$11+(K170="Em parte")*'Critérios e pesos'!$G$11/2+(L170="Claro")*'Critérios e pesos'!$G$12+(L170="Em parte")*'Critérios e pesos'!$G$12/2+(M170="Claro")*'Critérios e pesos'!$G$13+(M170="Em parte")*'Critérios e pesos'!$G$13/2)</f>
        <v/>
      </c>
      <c r="R170" s="14">
        <f>IF($B170="","",IFERROR(VLOOKUP(N170,'Critérios e pesos'!$B$17:$C$20,2,FALSE),0))</f>
        <v/>
      </c>
      <c r="S170" s="9">
        <f>IF($B170="","",MAX(0,P170+Q170+R170))</f>
        <v/>
      </c>
      <c r="T170" s="9">
        <f>IF($B170="","",IF(O170&lt;&gt;"","X",IF(S170&gt;='Critérios e pesos'!$C$29,"A",IF(S170&gt;='Critérios e pesos'!$C$30,"B","C"))))</f>
        <v/>
      </c>
      <c r="U170" s="14">
        <f>IF(T170="","",INDEX('Critérios e pesos'!$D$29:$D$32,MATCH(T170,'Critérios e pesos'!$A$29:$A$32,0)))</f>
        <v/>
      </c>
      <c r="V170" s="14">
        <f>IF(T170="","",INDEX('Critérios e pesos'!$F$29:$F$32,MATCH(T170,'Critérios e pesos'!$A$29:$A$32,0)))</f>
        <v/>
      </c>
      <c r="W170" s="15">
        <f>IF(OR(AH170="",AJ170=""),"",IF(AI170+AJ170*60&lt;=ROUND('Critérios e pesos'!$C$37*1440,0),INT(AH170)+(AI170+AJ170*60)/1440,WORKDAY(INT(AH170),1+INT((AI170+AJ170*60-ROUND('Critérios e pesos'!$C$37*1440,0)-1)/(ROUND('Critérios e pesos'!$C$37*1440,0)-ROUND('Critérios e pesos'!$C$36*1440,0))))+(ROUND('Critérios e pesos'!$C$36*1440,0)+AI170+AJ170*60-ROUND('Critérios e pesos'!$C$37*1440,0)-INT((AI170+AJ170*60-ROUND('Critérios e pesos'!$C$37*1440,0)-1)/(ROUND('Critérios e pesos'!$C$37*1440,0)-ROUND('Critérios e pesos'!$C$36*1440,0)))*(ROUND('Critérios e pesos'!$C$37*1440,0)-ROUND('Critérios e pesos'!$C$36*1440,0)))/1440))</f>
        <v/>
      </c>
      <c r="X170" s="16" t="n"/>
      <c r="Y170" s="14">
        <f>IF(W170="","",IF(X170="",IF(NOW()&gt;W170,"Atrasado","Em espera"),IF(X170&lt;=W170,"No prazo","Atrasado")))</f>
        <v/>
      </c>
      <c r="Z170" s="17" t="n"/>
      <c r="AA170" s="14">
        <f>IF($B170="","",IF(OR(T170="X",AD170&lt;&gt;""),0,MAX(0,MIN(Q170,'Critérios e pesos'!$C$38*INT((TODAY()-IF(Z170&lt;&gt;"",Z170,INT($A170)))/7)))))</f>
        <v/>
      </c>
      <c r="AB170" s="14">
        <f>IF($B170="","",MAX(0,S170-AA170))</f>
        <v/>
      </c>
      <c r="AC170" s="9">
        <f>IF($B170="","",IF(T170="X","X",IF(AB170&gt;='Critérios e pesos'!$C$29,"A",IF(AB170&gt;='Critérios e pesos'!$C$30,"B","C"))))</f>
        <v/>
      </c>
      <c r="AD170" s="4" t="n"/>
      <c r="AE170" s="18" t="n"/>
      <c r="AF170" s="6" t="n"/>
      <c r="AH170">
        <f>IF($A170="","",IF(OR(WEEKDAY($A170,2)&gt;5,ROUND(MOD($A170,1)*1440,0)&gt;=ROUND('Critérios e pesos'!$C$37*1440,0)),WORKDAY(INT($A170),1)+ROUND('Critérios e pesos'!$C$36*1440,0)/1440,IF(ROUND(MOD($A170,1)*1440,0)&lt;ROUND('Critérios e pesos'!$C$36*1440,0),INT($A170)+ROUND('Critérios e pesos'!$C$36*1440,0)/1440,$A170)))</f>
        <v/>
      </c>
      <c r="AI170">
        <f>IF(AH170="","",ROUND(MOD(AH170,1)*1440,0))</f>
        <v/>
      </c>
      <c r="AJ170">
        <f>IF(T170="","",INDEX('Critérios e pesos'!$E$29:$E$32,MATCH(T170,'Critérios e pesos'!$A$29:$A$32,0)))</f>
        <v/>
      </c>
    </row>
    <row r="171">
      <c r="A171" s="13" t="n"/>
      <c r="B171" s="6" t="n"/>
      <c r="C171" s="6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6" t="n"/>
      <c r="O171" s="6" t="n"/>
      <c r="P171" s="14">
        <f>IF($B171="","",(E171="Claro")*'Critérios e pesos'!$G$5+(E171="Em parte")*'Critérios e pesos'!$G$5/2+(F171="Claro")*'Critérios e pesos'!$G$6+(F171="Em parte")*'Critérios e pesos'!$G$6/2+(G171="Claro")*'Critérios e pesos'!$G$7+(G171="Em parte")*'Critérios e pesos'!$G$7/2+(H171="Claro")*'Critérios e pesos'!$G$8+(H171="Em parte")*'Critérios e pesos'!$G$8/2)</f>
        <v/>
      </c>
      <c r="Q171" s="14">
        <f>IF($B171="","",(I171="Claro")*'Critérios e pesos'!$G$9+(I171="Em parte")*'Critérios e pesos'!$G$9/2+(J171="Claro")*'Critérios e pesos'!$G$10+(J171="Em parte")*'Critérios e pesos'!$G$10/2+(K171="Claro")*'Critérios e pesos'!$G$11+(K171="Em parte")*'Critérios e pesos'!$G$11/2+(L171="Claro")*'Critérios e pesos'!$G$12+(L171="Em parte")*'Critérios e pesos'!$G$12/2+(M171="Claro")*'Critérios e pesos'!$G$13+(M171="Em parte")*'Critérios e pesos'!$G$13/2)</f>
        <v/>
      </c>
      <c r="R171" s="14">
        <f>IF($B171="","",IFERROR(VLOOKUP(N171,'Critérios e pesos'!$B$17:$C$20,2,FALSE),0))</f>
        <v/>
      </c>
      <c r="S171" s="9">
        <f>IF($B171="","",MAX(0,P171+Q171+R171))</f>
        <v/>
      </c>
      <c r="T171" s="9">
        <f>IF($B171="","",IF(O171&lt;&gt;"","X",IF(S171&gt;='Critérios e pesos'!$C$29,"A",IF(S171&gt;='Critérios e pesos'!$C$30,"B","C"))))</f>
        <v/>
      </c>
      <c r="U171" s="14">
        <f>IF(T171="","",INDEX('Critérios e pesos'!$D$29:$D$32,MATCH(T171,'Critérios e pesos'!$A$29:$A$32,0)))</f>
        <v/>
      </c>
      <c r="V171" s="14">
        <f>IF(T171="","",INDEX('Critérios e pesos'!$F$29:$F$32,MATCH(T171,'Critérios e pesos'!$A$29:$A$32,0)))</f>
        <v/>
      </c>
      <c r="W171" s="15">
        <f>IF(OR(AH171="",AJ171=""),"",IF(AI171+AJ171*60&lt;=ROUND('Critérios e pesos'!$C$37*1440,0),INT(AH171)+(AI171+AJ171*60)/1440,WORKDAY(INT(AH171),1+INT((AI171+AJ171*60-ROUND('Critérios e pesos'!$C$37*1440,0)-1)/(ROUND('Critérios e pesos'!$C$37*1440,0)-ROUND('Critérios e pesos'!$C$36*1440,0))))+(ROUND('Critérios e pesos'!$C$36*1440,0)+AI171+AJ171*60-ROUND('Critérios e pesos'!$C$37*1440,0)-INT((AI171+AJ171*60-ROUND('Critérios e pesos'!$C$37*1440,0)-1)/(ROUND('Critérios e pesos'!$C$37*1440,0)-ROUND('Critérios e pesos'!$C$36*1440,0)))*(ROUND('Critérios e pesos'!$C$37*1440,0)-ROUND('Critérios e pesos'!$C$36*1440,0)))/1440))</f>
        <v/>
      </c>
      <c r="X171" s="16" t="n"/>
      <c r="Y171" s="14">
        <f>IF(W171="","",IF(X171="",IF(NOW()&gt;W171,"Atrasado","Em espera"),IF(X171&lt;=W171,"No prazo","Atrasado")))</f>
        <v/>
      </c>
      <c r="Z171" s="17" t="n"/>
      <c r="AA171" s="14">
        <f>IF($B171="","",IF(OR(T171="X",AD171&lt;&gt;""),0,MAX(0,MIN(Q171,'Critérios e pesos'!$C$38*INT((TODAY()-IF(Z171&lt;&gt;"",Z171,INT($A171)))/7)))))</f>
        <v/>
      </c>
      <c r="AB171" s="14">
        <f>IF($B171="","",MAX(0,S171-AA171))</f>
        <v/>
      </c>
      <c r="AC171" s="9">
        <f>IF($B171="","",IF(T171="X","X",IF(AB171&gt;='Critérios e pesos'!$C$29,"A",IF(AB171&gt;='Critérios e pesos'!$C$30,"B","C"))))</f>
        <v/>
      </c>
      <c r="AD171" s="4" t="n"/>
      <c r="AE171" s="18" t="n"/>
      <c r="AF171" s="6" t="n"/>
      <c r="AH171">
        <f>IF($A171="","",IF(OR(WEEKDAY($A171,2)&gt;5,ROUND(MOD($A171,1)*1440,0)&gt;=ROUND('Critérios e pesos'!$C$37*1440,0)),WORKDAY(INT($A171),1)+ROUND('Critérios e pesos'!$C$36*1440,0)/1440,IF(ROUND(MOD($A171,1)*1440,0)&lt;ROUND('Critérios e pesos'!$C$36*1440,0),INT($A171)+ROUND('Critérios e pesos'!$C$36*1440,0)/1440,$A171)))</f>
        <v/>
      </c>
      <c r="AI171">
        <f>IF(AH171="","",ROUND(MOD(AH171,1)*1440,0))</f>
        <v/>
      </c>
      <c r="AJ171">
        <f>IF(T171="","",INDEX('Critérios e pesos'!$E$29:$E$32,MATCH(T171,'Critérios e pesos'!$A$29:$A$32,0)))</f>
        <v/>
      </c>
    </row>
    <row r="172">
      <c r="A172" s="13" t="n"/>
      <c r="B172" s="6" t="n"/>
      <c r="C172" s="6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6" t="n"/>
      <c r="O172" s="6" t="n"/>
      <c r="P172" s="14">
        <f>IF($B172="","",(E172="Claro")*'Critérios e pesos'!$G$5+(E172="Em parte")*'Critérios e pesos'!$G$5/2+(F172="Claro")*'Critérios e pesos'!$G$6+(F172="Em parte")*'Critérios e pesos'!$G$6/2+(G172="Claro")*'Critérios e pesos'!$G$7+(G172="Em parte")*'Critérios e pesos'!$G$7/2+(H172="Claro")*'Critérios e pesos'!$G$8+(H172="Em parte")*'Critérios e pesos'!$G$8/2)</f>
        <v/>
      </c>
      <c r="Q172" s="14">
        <f>IF($B172="","",(I172="Claro")*'Critérios e pesos'!$G$9+(I172="Em parte")*'Critérios e pesos'!$G$9/2+(J172="Claro")*'Critérios e pesos'!$G$10+(J172="Em parte")*'Critérios e pesos'!$G$10/2+(K172="Claro")*'Critérios e pesos'!$G$11+(K172="Em parte")*'Critérios e pesos'!$G$11/2+(L172="Claro")*'Critérios e pesos'!$G$12+(L172="Em parte")*'Critérios e pesos'!$G$12/2+(M172="Claro")*'Critérios e pesos'!$G$13+(M172="Em parte")*'Critérios e pesos'!$G$13/2)</f>
        <v/>
      </c>
      <c r="R172" s="14">
        <f>IF($B172="","",IFERROR(VLOOKUP(N172,'Critérios e pesos'!$B$17:$C$20,2,FALSE),0))</f>
        <v/>
      </c>
      <c r="S172" s="9">
        <f>IF($B172="","",MAX(0,P172+Q172+R172))</f>
        <v/>
      </c>
      <c r="T172" s="9">
        <f>IF($B172="","",IF(O172&lt;&gt;"","X",IF(S172&gt;='Critérios e pesos'!$C$29,"A",IF(S172&gt;='Critérios e pesos'!$C$30,"B","C"))))</f>
        <v/>
      </c>
      <c r="U172" s="14">
        <f>IF(T172="","",INDEX('Critérios e pesos'!$D$29:$D$32,MATCH(T172,'Critérios e pesos'!$A$29:$A$32,0)))</f>
        <v/>
      </c>
      <c r="V172" s="14">
        <f>IF(T172="","",INDEX('Critérios e pesos'!$F$29:$F$32,MATCH(T172,'Critérios e pesos'!$A$29:$A$32,0)))</f>
        <v/>
      </c>
      <c r="W172" s="15">
        <f>IF(OR(AH172="",AJ172=""),"",IF(AI172+AJ172*60&lt;=ROUND('Critérios e pesos'!$C$37*1440,0),INT(AH172)+(AI172+AJ172*60)/1440,WORKDAY(INT(AH172),1+INT((AI172+AJ172*60-ROUND('Critérios e pesos'!$C$37*1440,0)-1)/(ROUND('Critérios e pesos'!$C$37*1440,0)-ROUND('Critérios e pesos'!$C$36*1440,0))))+(ROUND('Critérios e pesos'!$C$36*1440,0)+AI172+AJ172*60-ROUND('Critérios e pesos'!$C$37*1440,0)-INT((AI172+AJ172*60-ROUND('Critérios e pesos'!$C$37*1440,0)-1)/(ROUND('Critérios e pesos'!$C$37*1440,0)-ROUND('Critérios e pesos'!$C$36*1440,0)))*(ROUND('Critérios e pesos'!$C$37*1440,0)-ROUND('Critérios e pesos'!$C$36*1440,0)))/1440))</f>
        <v/>
      </c>
      <c r="X172" s="16" t="n"/>
      <c r="Y172" s="14">
        <f>IF(W172="","",IF(X172="",IF(NOW()&gt;W172,"Atrasado","Em espera"),IF(X172&lt;=W172,"No prazo","Atrasado")))</f>
        <v/>
      </c>
      <c r="Z172" s="17" t="n"/>
      <c r="AA172" s="14">
        <f>IF($B172="","",IF(OR(T172="X",AD172&lt;&gt;""),0,MAX(0,MIN(Q172,'Critérios e pesos'!$C$38*INT((TODAY()-IF(Z172&lt;&gt;"",Z172,INT($A172)))/7)))))</f>
        <v/>
      </c>
      <c r="AB172" s="14">
        <f>IF($B172="","",MAX(0,S172-AA172))</f>
        <v/>
      </c>
      <c r="AC172" s="9">
        <f>IF($B172="","",IF(T172="X","X",IF(AB172&gt;='Critérios e pesos'!$C$29,"A",IF(AB172&gt;='Critérios e pesos'!$C$30,"B","C"))))</f>
        <v/>
      </c>
      <c r="AD172" s="4" t="n"/>
      <c r="AE172" s="18" t="n"/>
      <c r="AF172" s="6" t="n"/>
      <c r="AH172">
        <f>IF($A172="","",IF(OR(WEEKDAY($A172,2)&gt;5,ROUND(MOD($A172,1)*1440,0)&gt;=ROUND('Critérios e pesos'!$C$37*1440,0)),WORKDAY(INT($A172),1)+ROUND('Critérios e pesos'!$C$36*1440,0)/1440,IF(ROUND(MOD($A172,1)*1440,0)&lt;ROUND('Critérios e pesos'!$C$36*1440,0),INT($A172)+ROUND('Critérios e pesos'!$C$36*1440,0)/1440,$A172)))</f>
        <v/>
      </c>
      <c r="AI172">
        <f>IF(AH172="","",ROUND(MOD(AH172,1)*1440,0))</f>
        <v/>
      </c>
      <c r="AJ172">
        <f>IF(T172="","",INDEX('Critérios e pesos'!$E$29:$E$32,MATCH(T172,'Critérios e pesos'!$A$29:$A$32,0)))</f>
        <v/>
      </c>
    </row>
    <row r="173">
      <c r="A173" s="13" t="n"/>
      <c r="B173" s="6" t="n"/>
      <c r="C173" s="6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6" t="n"/>
      <c r="O173" s="6" t="n"/>
      <c r="P173" s="14">
        <f>IF($B173="","",(E173="Claro")*'Critérios e pesos'!$G$5+(E173="Em parte")*'Critérios e pesos'!$G$5/2+(F173="Claro")*'Critérios e pesos'!$G$6+(F173="Em parte")*'Critérios e pesos'!$G$6/2+(G173="Claro")*'Critérios e pesos'!$G$7+(G173="Em parte")*'Critérios e pesos'!$G$7/2+(H173="Claro")*'Critérios e pesos'!$G$8+(H173="Em parte")*'Critérios e pesos'!$G$8/2)</f>
        <v/>
      </c>
      <c r="Q173" s="14">
        <f>IF($B173="","",(I173="Claro")*'Critérios e pesos'!$G$9+(I173="Em parte")*'Critérios e pesos'!$G$9/2+(J173="Claro")*'Critérios e pesos'!$G$10+(J173="Em parte")*'Critérios e pesos'!$G$10/2+(K173="Claro")*'Critérios e pesos'!$G$11+(K173="Em parte")*'Critérios e pesos'!$G$11/2+(L173="Claro")*'Critérios e pesos'!$G$12+(L173="Em parte")*'Critérios e pesos'!$G$12/2+(M173="Claro")*'Critérios e pesos'!$G$13+(M173="Em parte")*'Critérios e pesos'!$G$13/2)</f>
        <v/>
      </c>
      <c r="R173" s="14">
        <f>IF($B173="","",IFERROR(VLOOKUP(N173,'Critérios e pesos'!$B$17:$C$20,2,FALSE),0))</f>
        <v/>
      </c>
      <c r="S173" s="9">
        <f>IF($B173="","",MAX(0,P173+Q173+R173))</f>
        <v/>
      </c>
      <c r="T173" s="9">
        <f>IF($B173="","",IF(O173&lt;&gt;"","X",IF(S173&gt;='Critérios e pesos'!$C$29,"A",IF(S173&gt;='Critérios e pesos'!$C$30,"B","C"))))</f>
        <v/>
      </c>
      <c r="U173" s="14">
        <f>IF(T173="","",INDEX('Critérios e pesos'!$D$29:$D$32,MATCH(T173,'Critérios e pesos'!$A$29:$A$32,0)))</f>
        <v/>
      </c>
      <c r="V173" s="14">
        <f>IF(T173="","",INDEX('Critérios e pesos'!$F$29:$F$32,MATCH(T173,'Critérios e pesos'!$A$29:$A$32,0)))</f>
        <v/>
      </c>
      <c r="W173" s="15">
        <f>IF(OR(AH173="",AJ173=""),"",IF(AI173+AJ173*60&lt;=ROUND('Critérios e pesos'!$C$37*1440,0),INT(AH173)+(AI173+AJ173*60)/1440,WORKDAY(INT(AH173),1+INT((AI173+AJ173*60-ROUND('Critérios e pesos'!$C$37*1440,0)-1)/(ROUND('Critérios e pesos'!$C$37*1440,0)-ROUND('Critérios e pesos'!$C$36*1440,0))))+(ROUND('Critérios e pesos'!$C$36*1440,0)+AI173+AJ173*60-ROUND('Critérios e pesos'!$C$37*1440,0)-INT((AI173+AJ173*60-ROUND('Critérios e pesos'!$C$37*1440,0)-1)/(ROUND('Critérios e pesos'!$C$37*1440,0)-ROUND('Critérios e pesos'!$C$36*1440,0)))*(ROUND('Critérios e pesos'!$C$37*1440,0)-ROUND('Critérios e pesos'!$C$36*1440,0)))/1440))</f>
        <v/>
      </c>
      <c r="X173" s="16" t="n"/>
      <c r="Y173" s="14">
        <f>IF(W173="","",IF(X173="",IF(NOW()&gt;W173,"Atrasado","Em espera"),IF(X173&lt;=W173,"No prazo","Atrasado")))</f>
        <v/>
      </c>
      <c r="Z173" s="17" t="n"/>
      <c r="AA173" s="14">
        <f>IF($B173="","",IF(OR(T173="X",AD173&lt;&gt;""),0,MAX(0,MIN(Q173,'Critérios e pesos'!$C$38*INT((TODAY()-IF(Z173&lt;&gt;"",Z173,INT($A173)))/7)))))</f>
        <v/>
      </c>
      <c r="AB173" s="14">
        <f>IF($B173="","",MAX(0,S173-AA173))</f>
        <v/>
      </c>
      <c r="AC173" s="9">
        <f>IF($B173="","",IF(T173="X","X",IF(AB173&gt;='Critérios e pesos'!$C$29,"A",IF(AB173&gt;='Critérios e pesos'!$C$30,"B","C"))))</f>
        <v/>
      </c>
      <c r="AD173" s="4" t="n"/>
      <c r="AE173" s="18" t="n"/>
      <c r="AF173" s="6" t="n"/>
      <c r="AH173">
        <f>IF($A173="","",IF(OR(WEEKDAY($A173,2)&gt;5,ROUND(MOD($A173,1)*1440,0)&gt;=ROUND('Critérios e pesos'!$C$37*1440,0)),WORKDAY(INT($A173),1)+ROUND('Critérios e pesos'!$C$36*1440,0)/1440,IF(ROUND(MOD($A173,1)*1440,0)&lt;ROUND('Critérios e pesos'!$C$36*1440,0),INT($A173)+ROUND('Critérios e pesos'!$C$36*1440,0)/1440,$A173)))</f>
        <v/>
      </c>
      <c r="AI173">
        <f>IF(AH173="","",ROUND(MOD(AH173,1)*1440,0))</f>
        <v/>
      </c>
      <c r="AJ173">
        <f>IF(T173="","",INDEX('Critérios e pesos'!$E$29:$E$32,MATCH(T173,'Critérios e pesos'!$A$29:$A$32,0)))</f>
        <v/>
      </c>
    </row>
    <row r="174">
      <c r="A174" s="13" t="n"/>
      <c r="B174" s="6" t="n"/>
      <c r="C174" s="6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6" t="n"/>
      <c r="O174" s="6" t="n"/>
      <c r="P174" s="14">
        <f>IF($B174="","",(E174="Claro")*'Critérios e pesos'!$G$5+(E174="Em parte")*'Critérios e pesos'!$G$5/2+(F174="Claro")*'Critérios e pesos'!$G$6+(F174="Em parte")*'Critérios e pesos'!$G$6/2+(G174="Claro")*'Critérios e pesos'!$G$7+(G174="Em parte")*'Critérios e pesos'!$G$7/2+(H174="Claro")*'Critérios e pesos'!$G$8+(H174="Em parte")*'Critérios e pesos'!$G$8/2)</f>
        <v/>
      </c>
      <c r="Q174" s="14">
        <f>IF($B174="","",(I174="Claro")*'Critérios e pesos'!$G$9+(I174="Em parte")*'Critérios e pesos'!$G$9/2+(J174="Claro")*'Critérios e pesos'!$G$10+(J174="Em parte")*'Critérios e pesos'!$G$10/2+(K174="Claro")*'Critérios e pesos'!$G$11+(K174="Em parte")*'Critérios e pesos'!$G$11/2+(L174="Claro")*'Critérios e pesos'!$G$12+(L174="Em parte")*'Critérios e pesos'!$G$12/2+(M174="Claro")*'Critérios e pesos'!$G$13+(M174="Em parte")*'Critérios e pesos'!$G$13/2)</f>
        <v/>
      </c>
      <c r="R174" s="14">
        <f>IF($B174="","",IFERROR(VLOOKUP(N174,'Critérios e pesos'!$B$17:$C$20,2,FALSE),0))</f>
        <v/>
      </c>
      <c r="S174" s="9">
        <f>IF($B174="","",MAX(0,P174+Q174+R174))</f>
        <v/>
      </c>
      <c r="T174" s="9">
        <f>IF($B174="","",IF(O174&lt;&gt;"","X",IF(S174&gt;='Critérios e pesos'!$C$29,"A",IF(S174&gt;='Critérios e pesos'!$C$30,"B","C"))))</f>
        <v/>
      </c>
      <c r="U174" s="14">
        <f>IF(T174="","",INDEX('Critérios e pesos'!$D$29:$D$32,MATCH(T174,'Critérios e pesos'!$A$29:$A$32,0)))</f>
        <v/>
      </c>
      <c r="V174" s="14">
        <f>IF(T174="","",INDEX('Critérios e pesos'!$F$29:$F$32,MATCH(T174,'Critérios e pesos'!$A$29:$A$32,0)))</f>
        <v/>
      </c>
      <c r="W174" s="15">
        <f>IF(OR(AH174="",AJ174=""),"",IF(AI174+AJ174*60&lt;=ROUND('Critérios e pesos'!$C$37*1440,0),INT(AH174)+(AI174+AJ174*60)/1440,WORKDAY(INT(AH174),1+INT((AI174+AJ174*60-ROUND('Critérios e pesos'!$C$37*1440,0)-1)/(ROUND('Critérios e pesos'!$C$37*1440,0)-ROUND('Critérios e pesos'!$C$36*1440,0))))+(ROUND('Critérios e pesos'!$C$36*1440,0)+AI174+AJ174*60-ROUND('Critérios e pesos'!$C$37*1440,0)-INT((AI174+AJ174*60-ROUND('Critérios e pesos'!$C$37*1440,0)-1)/(ROUND('Critérios e pesos'!$C$37*1440,0)-ROUND('Critérios e pesos'!$C$36*1440,0)))*(ROUND('Critérios e pesos'!$C$37*1440,0)-ROUND('Critérios e pesos'!$C$36*1440,0)))/1440))</f>
        <v/>
      </c>
      <c r="X174" s="16" t="n"/>
      <c r="Y174" s="14">
        <f>IF(W174="","",IF(X174="",IF(NOW()&gt;W174,"Atrasado","Em espera"),IF(X174&lt;=W174,"No prazo","Atrasado")))</f>
        <v/>
      </c>
      <c r="Z174" s="17" t="n"/>
      <c r="AA174" s="14">
        <f>IF($B174="","",IF(OR(T174="X",AD174&lt;&gt;""),0,MAX(0,MIN(Q174,'Critérios e pesos'!$C$38*INT((TODAY()-IF(Z174&lt;&gt;"",Z174,INT($A174)))/7)))))</f>
        <v/>
      </c>
      <c r="AB174" s="14">
        <f>IF($B174="","",MAX(0,S174-AA174))</f>
        <v/>
      </c>
      <c r="AC174" s="9">
        <f>IF($B174="","",IF(T174="X","X",IF(AB174&gt;='Critérios e pesos'!$C$29,"A",IF(AB174&gt;='Critérios e pesos'!$C$30,"B","C"))))</f>
        <v/>
      </c>
      <c r="AD174" s="4" t="n"/>
      <c r="AE174" s="18" t="n"/>
      <c r="AF174" s="6" t="n"/>
      <c r="AH174">
        <f>IF($A174="","",IF(OR(WEEKDAY($A174,2)&gt;5,ROUND(MOD($A174,1)*1440,0)&gt;=ROUND('Critérios e pesos'!$C$37*1440,0)),WORKDAY(INT($A174),1)+ROUND('Critérios e pesos'!$C$36*1440,0)/1440,IF(ROUND(MOD($A174,1)*1440,0)&lt;ROUND('Critérios e pesos'!$C$36*1440,0),INT($A174)+ROUND('Critérios e pesos'!$C$36*1440,0)/1440,$A174)))</f>
        <v/>
      </c>
      <c r="AI174">
        <f>IF(AH174="","",ROUND(MOD(AH174,1)*1440,0))</f>
        <v/>
      </c>
      <c r="AJ174">
        <f>IF(T174="","",INDEX('Critérios e pesos'!$E$29:$E$32,MATCH(T174,'Critérios e pesos'!$A$29:$A$32,0)))</f>
        <v/>
      </c>
    </row>
    <row r="175">
      <c r="A175" s="13" t="n"/>
      <c r="B175" s="6" t="n"/>
      <c r="C175" s="6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6" t="n"/>
      <c r="O175" s="6" t="n"/>
      <c r="P175" s="14">
        <f>IF($B175="","",(E175="Claro")*'Critérios e pesos'!$G$5+(E175="Em parte")*'Critérios e pesos'!$G$5/2+(F175="Claro")*'Critérios e pesos'!$G$6+(F175="Em parte")*'Critérios e pesos'!$G$6/2+(G175="Claro")*'Critérios e pesos'!$G$7+(G175="Em parte")*'Critérios e pesos'!$G$7/2+(H175="Claro")*'Critérios e pesos'!$G$8+(H175="Em parte")*'Critérios e pesos'!$G$8/2)</f>
        <v/>
      </c>
      <c r="Q175" s="14">
        <f>IF($B175="","",(I175="Claro")*'Critérios e pesos'!$G$9+(I175="Em parte")*'Critérios e pesos'!$G$9/2+(J175="Claro")*'Critérios e pesos'!$G$10+(J175="Em parte")*'Critérios e pesos'!$G$10/2+(K175="Claro")*'Critérios e pesos'!$G$11+(K175="Em parte")*'Critérios e pesos'!$G$11/2+(L175="Claro")*'Critérios e pesos'!$G$12+(L175="Em parte")*'Critérios e pesos'!$G$12/2+(M175="Claro")*'Critérios e pesos'!$G$13+(M175="Em parte")*'Critérios e pesos'!$G$13/2)</f>
        <v/>
      </c>
      <c r="R175" s="14">
        <f>IF($B175="","",IFERROR(VLOOKUP(N175,'Critérios e pesos'!$B$17:$C$20,2,FALSE),0))</f>
        <v/>
      </c>
      <c r="S175" s="9">
        <f>IF($B175="","",MAX(0,P175+Q175+R175))</f>
        <v/>
      </c>
      <c r="T175" s="9">
        <f>IF($B175="","",IF(O175&lt;&gt;"","X",IF(S175&gt;='Critérios e pesos'!$C$29,"A",IF(S175&gt;='Critérios e pesos'!$C$30,"B","C"))))</f>
        <v/>
      </c>
      <c r="U175" s="14">
        <f>IF(T175="","",INDEX('Critérios e pesos'!$D$29:$D$32,MATCH(T175,'Critérios e pesos'!$A$29:$A$32,0)))</f>
        <v/>
      </c>
      <c r="V175" s="14">
        <f>IF(T175="","",INDEX('Critérios e pesos'!$F$29:$F$32,MATCH(T175,'Critérios e pesos'!$A$29:$A$32,0)))</f>
        <v/>
      </c>
      <c r="W175" s="15">
        <f>IF(OR(AH175="",AJ175=""),"",IF(AI175+AJ175*60&lt;=ROUND('Critérios e pesos'!$C$37*1440,0),INT(AH175)+(AI175+AJ175*60)/1440,WORKDAY(INT(AH175),1+INT((AI175+AJ175*60-ROUND('Critérios e pesos'!$C$37*1440,0)-1)/(ROUND('Critérios e pesos'!$C$37*1440,0)-ROUND('Critérios e pesos'!$C$36*1440,0))))+(ROUND('Critérios e pesos'!$C$36*1440,0)+AI175+AJ175*60-ROUND('Critérios e pesos'!$C$37*1440,0)-INT((AI175+AJ175*60-ROUND('Critérios e pesos'!$C$37*1440,0)-1)/(ROUND('Critérios e pesos'!$C$37*1440,0)-ROUND('Critérios e pesos'!$C$36*1440,0)))*(ROUND('Critérios e pesos'!$C$37*1440,0)-ROUND('Critérios e pesos'!$C$36*1440,0)))/1440))</f>
        <v/>
      </c>
      <c r="X175" s="16" t="n"/>
      <c r="Y175" s="14">
        <f>IF(W175="","",IF(X175="",IF(NOW()&gt;W175,"Atrasado","Em espera"),IF(X175&lt;=W175,"No prazo","Atrasado")))</f>
        <v/>
      </c>
      <c r="Z175" s="17" t="n"/>
      <c r="AA175" s="14">
        <f>IF($B175="","",IF(OR(T175="X",AD175&lt;&gt;""),0,MAX(0,MIN(Q175,'Critérios e pesos'!$C$38*INT((TODAY()-IF(Z175&lt;&gt;"",Z175,INT($A175)))/7)))))</f>
        <v/>
      </c>
      <c r="AB175" s="14">
        <f>IF($B175="","",MAX(0,S175-AA175))</f>
        <v/>
      </c>
      <c r="AC175" s="9">
        <f>IF($B175="","",IF(T175="X","X",IF(AB175&gt;='Critérios e pesos'!$C$29,"A",IF(AB175&gt;='Critérios e pesos'!$C$30,"B","C"))))</f>
        <v/>
      </c>
      <c r="AD175" s="4" t="n"/>
      <c r="AE175" s="18" t="n"/>
      <c r="AF175" s="6" t="n"/>
      <c r="AH175">
        <f>IF($A175="","",IF(OR(WEEKDAY($A175,2)&gt;5,ROUND(MOD($A175,1)*1440,0)&gt;=ROUND('Critérios e pesos'!$C$37*1440,0)),WORKDAY(INT($A175),1)+ROUND('Critérios e pesos'!$C$36*1440,0)/1440,IF(ROUND(MOD($A175,1)*1440,0)&lt;ROUND('Critérios e pesos'!$C$36*1440,0),INT($A175)+ROUND('Critérios e pesos'!$C$36*1440,0)/1440,$A175)))</f>
        <v/>
      </c>
      <c r="AI175">
        <f>IF(AH175="","",ROUND(MOD(AH175,1)*1440,0))</f>
        <v/>
      </c>
      <c r="AJ175">
        <f>IF(T175="","",INDEX('Critérios e pesos'!$E$29:$E$32,MATCH(T175,'Critérios e pesos'!$A$29:$A$32,0)))</f>
        <v/>
      </c>
    </row>
    <row r="176">
      <c r="A176" s="13" t="n"/>
      <c r="B176" s="6" t="n"/>
      <c r="C176" s="6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6" t="n"/>
      <c r="O176" s="6" t="n"/>
      <c r="P176" s="14">
        <f>IF($B176="","",(E176="Claro")*'Critérios e pesos'!$G$5+(E176="Em parte")*'Critérios e pesos'!$G$5/2+(F176="Claro")*'Critérios e pesos'!$G$6+(F176="Em parte")*'Critérios e pesos'!$G$6/2+(G176="Claro")*'Critérios e pesos'!$G$7+(G176="Em parte")*'Critérios e pesos'!$G$7/2+(H176="Claro")*'Critérios e pesos'!$G$8+(H176="Em parte")*'Critérios e pesos'!$G$8/2)</f>
        <v/>
      </c>
      <c r="Q176" s="14">
        <f>IF($B176="","",(I176="Claro")*'Critérios e pesos'!$G$9+(I176="Em parte")*'Critérios e pesos'!$G$9/2+(J176="Claro")*'Critérios e pesos'!$G$10+(J176="Em parte")*'Critérios e pesos'!$G$10/2+(K176="Claro")*'Critérios e pesos'!$G$11+(K176="Em parte")*'Critérios e pesos'!$G$11/2+(L176="Claro")*'Critérios e pesos'!$G$12+(L176="Em parte")*'Critérios e pesos'!$G$12/2+(M176="Claro")*'Critérios e pesos'!$G$13+(M176="Em parte")*'Critérios e pesos'!$G$13/2)</f>
        <v/>
      </c>
      <c r="R176" s="14">
        <f>IF($B176="","",IFERROR(VLOOKUP(N176,'Critérios e pesos'!$B$17:$C$20,2,FALSE),0))</f>
        <v/>
      </c>
      <c r="S176" s="9">
        <f>IF($B176="","",MAX(0,P176+Q176+R176))</f>
        <v/>
      </c>
      <c r="T176" s="9">
        <f>IF($B176="","",IF(O176&lt;&gt;"","X",IF(S176&gt;='Critérios e pesos'!$C$29,"A",IF(S176&gt;='Critérios e pesos'!$C$30,"B","C"))))</f>
        <v/>
      </c>
      <c r="U176" s="14">
        <f>IF(T176="","",INDEX('Critérios e pesos'!$D$29:$D$32,MATCH(T176,'Critérios e pesos'!$A$29:$A$32,0)))</f>
        <v/>
      </c>
      <c r="V176" s="14">
        <f>IF(T176="","",INDEX('Critérios e pesos'!$F$29:$F$32,MATCH(T176,'Critérios e pesos'!$A$29:$A$32,0)))</f>
        <v/>
      </c>
      <c r="W176" s="15">
        <f>IF(OR(AH176="",AJ176=""),"",IF(AI176+AJ176*60&lt;=ROUND('Critérios e pesos'!$C$37*1440,0),INT(AH176)+(AI176+AJ176*60)/1440,WORKDAY(INT(AH176),1+INT((AI176+AJ176*60-ROUND('Critérios e pesos'!$C$37*1440,0)-1)/(ROUND('Critérios e pesos'!$C$37*1440,0)-ROUND('Critérios e pesos'!$C$36*1440,0))))+(ROUND('Critérios e pesos'!$C$36*1440,0)+AI176+AJ176*60-ROUND('Critérios e pesos'!$C$37*1440,0)-INT((AI176+AJ176*60-ROUND('Critérios e pesos'!$C$37*1440,0)-1)/(ROUND('Critérios e pesos'!$C$37*1440,0)-ROUND('Critérios e pesos'!$C$36*1440,0)))*(ROUND('Critérios e pesos'!$C$37*1440,0)-ROUND('Critérios e pesos'!$C$36*1440,0)))/1440))</f>
        <v/>
      </c>
      <c r="X176" s="16" t="n"/>
      <c r="Y176" s="14">
        <f>IF(W176="","",IF(X176="",IF(NOW()&gt;W176,"Atrasado","Em espera"),IF(X176&lt;=W176,"No prazo","Atrasado")))</f>
        <v/>
      </c>
      <c r="Z176" s="17" t="n"/>
      <c r="AA176" s="14">
        <f>IF($B176="","",IF(OR(T176="X",AD176&lt;&gt;""),0,MAX(0,MIN(Q176,'Critérios e pesos'!$C$38*INT((TODAY()-IF(Z176&lt;&gt;"",Z176,INT($A176)))/7)))))</f>
        <v/>
      </c>
      <c r="AB176" s="14">
        <f>IF($B176="","",MAX(0,S176-AA176))</f>
        <v/>
      </c>
      <c r="AC176" s="9">
        <f>IF($B176="","",IF(T176="X","X",IF(AB176&gt;='Critérios e pesos'!$C$29,"A",IF(AB176&gt;='Critérios e pesos'!$C$30,"B","C"))))</f>
        <v/>
      </c>
      <c r="AD176" s="4" t="n"/>
      <c r="AE176" s="18" t="n"/>
      <c r="AF176" s="6" t="n"/>
      <c r="AH176">
        <f>IF($A176="","",IF(OR(WEEKDAY($A176,2)&gt;5,ROUND(MOD($A176,1)*1440,0)&gt;=ROUND('Critérios e pesos'!$C$37*1440,0)),WORKDAY(INT($A176),1)+ROUND('Critérios e pesos'!$C$36*1440,0)/1440,IF(ROUND(MOD($A176,1)*1440,0)&lt;ROUND('Critérios e pesos'!$C$36*1440,0),INT($A176)+ROUND('Critérios e pesos'!$C$36*1440,0)/1440,$A176)))</f>
        <v/>
      </c>
      <c r="AI176">
        <f>IF(AH176="","",ROUND(MOD(AH176,1)*1440,0))</f>
        <v/>
      </c>
      <c r="AJ176">
        <f>IF(T176="","",INDEX('Critérios e pesos'!$E$29:$E$32,MATCH(T176,'Critérios e pesos'!$A$29:$A$32,0)))</f>
        <v/>
      </c>
    </row>
    <row r="177">
      <c r="A177" s="13" t="n"/>
      <c r="B177" s="6" t="n"/>
      <c r="C177" s="6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6" t="n"/>
      <c r="O177" s="6" t="n"/>
      <c r="P177" s="14">
        <f>IF($B177="","",(E177="Claro")*'Critérios e pesos'!$G$5+(E177="Em parte")*'Critérios e pesos'!$G$5/2+(F177="Claro")*'Critérios e pesos'!$G$6+(F177="Em parte")*'Critérios e pesos'!$G$6/2+(G177="Claro")*'Critérios e pesos'!$G$7+(G177="Em parte")*'Critérios e pesos'!$G$7/2+(H177="Claro")*'Critérios e pesos'!$G$8+(H177="Em parte")*'Critérios e pesos'!$G$8/2)</f>
        <v/>
      </c>
      <c r="Q177" s="14">
        <f>IF($B177="","",(I177="Claro")*'Critérios e pesos'!$G$9+(I177="Em parte")*'Critérios e pesos'!$G$9/2+(J177="Claro")*'Critérios e pesos'!$G$10+(J177="Em parte")*'Critérios e pesos'!$G$10/2+(K177="Claro")*'Critérios e pesos'!$G$11+(K177="Em parte")*'Critérios e pesos'!$G$11/2+(L177="Claro")*'Critérios e pesos'!$G$12+(L177="Em parte")*'Critérios e pesos'!$G$12/2+(M177="Claro")*'Critérios e pesos'!$G$13+(M177="Em parte")*'Critérios e pesos'!$G$13/2)</f>
        <v/>
      </c>
      <c r="R177" s="14">
        <f>IF($B177="","",IFERROR(VLOOKUP(N177,'Critérios e pesos'!$B$17:$C$20,2,FALSE),0))</f>
        <v/>
      </c>
      <c r="S177" s="9">
        <f>IF($B177="","",MAX(0,P177+Q177+R177))</f>
        <v/>
      </c>
      <c r="T177" s="9">
        <f>IF($B177="","",IF(O177&lt;&gt;"","X",IF(S177&gt;='Critérios e pesos'!$C$29,"A",IF(S177&gt;='Critérios e pesos'!$C$30,"B","C"))))</f>
        <v/>
      </c>
      <c r="U177" s="14">
        <f>IF(T177="","",INDEX('Critérios e pesos'!$D$29:$D$32,MATCH(T177,'Critérios e pesos'!$A$29:$A$32,0)))</f>
        <v/>
      </c>
      <c r="V177" s="14">
        <f>IF(T177="","",INDEX('Critérios e pesos'!$F$29:$F$32,MATCH(T177,'Critérios e pesos'!$A$29:$A$32,0)))</f>
        <v/>
      </c>
      <c r="W177" s="15">
        <f>IF(OR(AH177="",AJ177=""),"",IF(AI177+AJ177*60&lt;=ROUND('Critérios e pesos'!$C$37*1440,0),INT(AH177)+(AI177+AJ177*60)/1440,WORKDAY(INT(AH177),1+INT((AI177+AJ177*60-ROUND('Critérios e pesos'!$C$37*1440,0)-1)/(ROUND('Critérios e pesos'!$C$37*1440,0)-ROUND('Critérios e pesos'!$C$36*1440,0))))+(ROUND('Critérios e pesos'!$C$36*1440,0)+AI177+AJ177*60-ROUND('Critérios e pesos'!$C$37*1440,0)-INT((AI177+AJ177*60-ROUND('Critérios e pesos'!$C$37*1440,0)-1)/(ROUND('Critérios e pesos'!$C$37*1440,0)-ROUND('Critérios e pesos'!$C$36*1440,0)))*(ROUND('Critérios e pesos'!$C$37*1440,0)-ROUND('Critérios e pesos'!$C$36*1440,0)))/1440))</f>
        <v/>
      </c>
      <c r="X177" s="16" t="n"/>
      <c r="Y177" s="14">
        <f>IF(W177="","",IF(X177="",IF(NOW()&gt;W177,"Atrasado","Em espera"),IF(X177&lt;=W177,"No prazo","Atrasado")))</f>
        <v/>
      </c>
      <c r="Z177" s="17" t="n"/>
      <c r="AA177" s="14">
        <f>IF($B177="","",IF(OR(T177="X",AD177&lt;&gt;""),0,MAX(0,MIN(Q177,'Critérios e pesos'!$C$38*INT((TODAY()-IF(Z177&lt;&gt;"",Z177,INT($A177)))/7)))))</f>
        <v/>
      </c>
      <c r="AB177" s="14">
        <f>IF($B177="","",MAX(0,S177-AA177))</f>
        <v/>
      </c>
      <c r="AC177" s="9">
        <f>IF($B177="","",IF(T177="X","X",IF(AB177&gt;='Critérios e pesos'!$C$29,"A",IF(AB177&gt;='Critérios e pesos'!$C$30,"B","C"))))</f>
        <v/>
      </c>
      <c r="AD177" s="4" t="n"/>
      <c r="AE177" s="18" t="n"/>
      <c r="AF177" s="6" t="n"/>
      <c r="AH177">
        <f>IF($A177="","",IF(OR(WEEKDAY($A177,2)&gt;5,ROUND(MOD($A177,1)*1440,0)&gt;=ROUND('Critérios e pesos'!$C$37*1440,0)),WORKDAY(INT($A177),1)+ROUND('Critérios e pesos'!$C$36*1440,0)/1440,IF(ROUND(MOD($A177,1)*1440,0)&lt;ROUND('Critérios e pesos'!$C$36*1440,0),INT($A177)+ROUND('Critérios e pesos'!$C$36*1440,0)/1440,$A177)))</f>
        <v/>
      </c>
      <c r="AI177">
        <f>IF(AH177="","",ROUND(MOD(AH177,1)*1440,0))</f>
        <v/>
      </c>
      <c r="AJ177">
        <f>IF(T177="","",INDEX('Critérios e pesos'!$E$29:$E$32,MATCH(T177,'Critérios e pesos'!$A$29:$A$32,0)))</f>
        <v/>
      </c>
    </row>
    <row r="178">
      <c r="A178" s="13" t="n"/>
      <c r="B178" s="6" t="n"/>
      <c r="C178" s="6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6" t="n"/>
      <c r="O178" s="6" t="n"/>
      <c r="P178" s="14">
        <f>IF($B178="","",(E178="Claro")*'Critérios e pesos'!$G$5+(E178="Em parte")*'Critérios e pesos'!$G$5/2+(F178="Claro")*'Critérios e pesos'!$G$6+(F178="Em parte")*'Critérios e pesos'!$G$6/2+(G178="Claro")*'Critérios e pesos'!$G$7+(G178="Em parte")*'Critérios e pesos'!$G$7/2+(H178="Claro")*'Critérios e pesos'!$G$8+(H178="Em parte")*'Critérios e pesos'!$G$8/2)</f>
        <v/>
      </c>
      <c r="Q178" s="14">
        <f>IF($B178="","",(I178="Claro")*'Critérios e pesos'!$G$9+(I178="Em parte")*'Critérios e pesos'!$G$9/2+(J178="Claro")*'Critérios e pesos'!$G$10+(J178="Em parte")*'Critérios e pesos'!$G$10/2+(K178="Claro")*'Critérios e pesos'!$G$11+(K178="Em parte")*'Critérios e pesos'!$G$11/2+(L178="Claro")*'Critérios e pesos'!$G$12+(L178="Em parte")*'Critérios e pesos'!$G$12/2+(M178="Claro")*'Critérios e pesos'!$G$13+(M178="Em parte")*'Critérios e pesos'!$G$13/2)</f>
        <v/>
      </c>
      <c r="R178" s="14">
        <f>IF($B178="","",IFERROR(VLOOKUP(N178,'Critérios e pesos'!$B$17:$C$20,2,FALSE),0))</f>
        <v/>
      </c>
      <c r="S178" s="9">
        <f>IF($B178="","",MAX(0,P178+Q178+R178))</f>
        <v/>
      </c>
      <c r="T178" s="9">
        <f>IF($B178="","",IF(O178&lt;&gt;"","X",IF(S178&gt;='Critérios e pesos'!$C$29,"A",IF(S178&gt;='Critérios e pesos'!$C$30,"B","C"))))</f>
        <v/>
      </c>
      <c r="U178" s="14">
        <f>IF(T178="","",INDEX('Critérios e pesos'!$D$29:$D$32,MATCH(T178,'Critérios e pesos'!$A$29:$A$32,0)))</f>
        <v/>
      </c>
      <c r="V178" s="14">
        <f>IF(T178="","",INDEX('Critérios e pesos'!$F$29:$F$32,MATCH(T178,'Critérios e pesos'!$A$29:$A$32,0)))</f>
        <v/>
      </c>
      <c r="W178" s="15">
        <f>IF(OR(AH178="",AJ178=""),"",IF(AI178+AJ178*60&lt;=ROUND('Critérios e pesos'!$C$37*1440,0),INT(AH178)+(AI178+AJ178*60)/1440,WORKDAY(INT(AH178),1+INT((AI178+AJ178*60-ROUND('Critérios e pesos'!$C$37*1440,0)-1)/(ROUND('Critérios e pesos'!$C$37*1440,0)-ROUND('Critérios e pesos'!$C$36*1440,0))))+(ROUND('Critérios e pesos'!$C$36*1440,0)+AI178+AJ178*60-ROUND('Critérios e pesos'!$C$37*1440,0)-INT((AI178+AJ178*60-ROUND('Critérios e pesos'!$C$37*1440,0)-1)/(ROUND('Critérios e pesos'!$C$37*1440,0)-ROUND('Critérios e pesos'!$C$36*1440,0)))*(ROUND('Critérios e pesos'!$C$37*1440,0)-ROUND('Critérios e pesos'!$C$36*1440,0)))/1440))</f>
        <v/>
      </c>
      <c r="X178" s="16" t="n"/>
      <c r="Y178" s="14">
        <f>IF(W178="","",IF(X178="",IF(NOW()&gt;W178,"Atrasado","Em espera"),IF(X178&lt;=W178,"No prazo","Atrasado")))</f>
        <v/>
      </c>
      <c r="Z178" s="17" t="n"/>
      <c r="AA178" s="14">
        <f>IF($B178="","",IF(OR(T178="X",AD178&lt;&gt;""),0,MAX(0,MIN(Q178,'Critérios e pesos'!$C$38*INT((TODAY()-IF(Z178&lt;&gt;"",Z178,INT($A178)))/7)))))</f>
        <v/>
      </c>
      <c r="AB178" s="14">
        <f>IF($B178="","",MAX(0,S178-AA178))</f>
        <v/>
      </c>
      <c r="AC178" s="9">
        <f>IF($B178="","",IF(T178="X","X",IF(AB178&gt;='Critérios e pesos'!$C$29,"A",IF(AB178&gt;='Critérios e pesos'!$C$30,"B","C"))))</f>
        <v/>
      </c>
      <c r="AD178" s="4" t="n"/>
      <c r="AE178" s="18" t="n"/>
      <c r="AF178" s="6" t="n"/>
      <c r="AH178">
        <f>IF($A178="","",IF(OR(WEEKDAY($A178,2)&gt;5,ROUND(MOD($A178,1)*1440,0)&gt;=ROUND('Critérios e pesos'!$C$37*1440,0)),WORKDAY(INT($A178),1)+ROUND('Critérios e pesos'!$C$36*1440,0)/1440,IF(ROUND(MOD($A178,1)*1440,0)&lt;ROUND('Critérios e pesos'!$C$36*1440,0),INT($A178)+ROUND('Critérios e pesos'!$C$36*1440,0)/1440,$A178)))</f>
        <v/>
      </c>
      <c r="AI178">
        <f>IF(AH178="","",ROUND(MOD(AH178,1)*1440,0))</f>
        <v/>
      </c>
      <c r="AJ178">
        <f>IF(T178="","",INDEX('Critérios e pesos'!$E$29:$E$32,MATCH(T178,'Critérios e pesos'!$A$29:$A$32,0)))</f>
        <v/>
      </c>
    </row>
    <row r="179">
      <c r="A179" s="13" t="n"/>
      <c r="B179" s="6" t="n"/>
      <c r="C179" s="6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6" t="n"/>
      <c r="O179" s="6" t="n"/>
      <c r="P179" s="14">
        <f>IF($B179="","",(E179="Claro")*'Critérios e pesos'!$G$5+(E179="Em parte")*'Critérios e pesos'!$G$5/2+(F179="Claro")*'Critérios e pesos'!$G$6+(F179="Em parte")*'Critérios e pesos'!$G$6/2+(G179="Claro")*'Critérios e pesos'!$G$7+(G179="Em parte")*'Critérios e pesos'!$G$7/2+(H179="Claro")*'Critérios e pesos'!$G$8+(H179="Em parte")*'Critérios e pesos'!$G$8/2)</f>
        <v/>
      </c>
      <c r="Q179" s="14">
        <f>IF($B179="","",(I179="Claro")*'Critérios e pesos'!$G$9+(I179="Em parte")*'Critérios e pesos'!$G$9/2+(J179="Claro")*'Critérios e pesos'!$G$10+(J179="Em parte")*'Critérios e pesos'!$G$10/2+(K179="Claro")*'Critérios e pesos'!$G$11+(K179="Em parte")*'Critérios e pesos'!$G$11/2+(L179="Claro")*'Critérios e pesos'!$G$12+(L179="Em parte")*'Critérios e pesos'!$G$12/2+(M179="Claro")*'Critérios e pesos'!$G$13+(M179="Em parte")*'Critérios e pesos'!$G$13/2)</f>
        <v/>
      </c>
      <c r="R179" s="14">
        <f>IF($B179="","",IFERROR(VLOOKUP(N179,'Critérios e pesos'!$B$17:$C$20,2,FALSE),0))</f>
        <v/>
      </c>
      <c r="S179" s="9">
        <f>IF($B179="","",MAX(0,P179+Q179+R179))</f>
        <v/>
      </c>
      <c r="T179" s="9">
        <f>IF($B179="","",IF(O179&lt;&gt;"","X",IF(S179&gt;='Critérios e pesos'!$C$29,"A",IF(S179&gt;='Critérios e pesos'!$C$30,"B","C"))))</f>
        <v/>
      </c>
      <c r="U179" s="14">
        <f>IF(T179="","",INDEX('Critérios e pesos'!$D$29:$D$32,MATCH(T179,'Critérios e pesos'!$A$29:$A$32,0)))</f>
        <v/>
      </c>
      <c r="V179" s="14">
        <f>IF(T179="","",INDEX('Critérios e pesos'!$F$29:$F$32,MATCH(T179,'Critérios e pesos'!$A$29:$A$32,0)))</f>
        <v/>
      </c>
      <c r="W179" s="15">
        <f>IF(OR(AH179="",AJ179=""),"",IF(AI179+AJ179*60&lt;=ROUND('Critérios e pesos'!$C$37*1440,0),INT(AH179)+(AI179+AJ179*60)/1440,WORKDAY(INT(AH179),1+INT((AI179+AJ179*60-ROUND('Critérios e pesos'!$C$37*1440,0)-1)/(ROUND('Critérios e pesos'!$C$37*1440,0)-ROUND('Critérios e pesos'!$C$36*1440,0))))+(ROUND('Critérios e pesos'!$C$36*1440,0)+AI179+AJ179*60-ROUND('Critérios e pesos'!$C$37*1440,0)-INT((AI179+AJ179*60-ROUND('Critérios e pesos'!$C$37*1440,0)-1)/(ROUND('Critérios e pesos'!$C$37*1440,0)-ROUND('Critérios e pesos'!$C$36*1440,0)))*(ROUND('Critérios e pesos'!$C$37*1440,0)-ROUND('Critérios e pesos'!$C$36*1440,0)))/1440))</f>
        <v/>
      </c>
      <c r="X179" s="16" t="n"/>
      <c r="Y179" s="14">
        <f>IF(W179="","",IF(X179="",IF(NOW()&gt;W179,"Atrasado","Em espera"),IF(X179&lt;=W179,"No prazo","Atrasado")))</f>
        <v/>
      </c>
      <c r="Z179" s="17" t="n"/>
      <c r="AA179" s="14">
        <f>IF($B179="","",IF(OR(T179="X",AD179&lt;&gt;""),0,MAX(0,MIN(Q179,'Critérios e pesos'!$C$38*INT((TODAY()-IF(Z179&lt;&gt;"",Z179,INT($A179)))/7)))))</f>
        <v/>
      </c>
      <c r="AB179" s="14">
        <f>IF($B179="","",MAX(0,S179-AA179))</f>
        <v/>
      </c>
      <c r="AC179" s="9">
        <f>IF($B179="","",IF(T179="X","X",IF(AB179&gt;='Critérios e pesos'!$C$29,"A",IF(AB179&gt;='Critérios e pesos'!$C$30,"B","C"))))</f>
        <v/>
      </c>
      <c r="AD179" s="4" t="n"/>
      <c r="AE179" s="18" t="n"/>
      <c r="AF179" s="6" t="n"/>
      <c r="AH179">
        <f>IF($A179="","",IF(OR(WEEKDAY($A179,2)&gt;5,ROUND(MOD($A179,1)*1440,0)&gt;=ROUND('Critérios e pesos'!$C$37*1440,0)),WORKDAY(INT($A179),1)+ROUND('Critérios e pesos'!$C$36*1440,0)/1440,IF(ROUND(MOD($A179,1)*1440,0)&lt;ROUND('Critérios e pesos'!$C$36*1440,0),INT($A179)+ROUND('Critérios e pesos'!$C$36*1440,0)/1440,$A179)))</f>
        <v/>
      </c>
      <c r="AI179">
        <f>IF(AH179="","",ROUND(MOD(AH179,1)*1440,0))</f>
        <v/>
      </c>
      <c r="AJ179">
        <f>IF(T179="","",INDEX('Critérios e pesos'!$E$29:$E$32,MATCH(T179,'Critérios e pesos'!$A$29:$A$32,0)))</f>
        <v/>
      </c>
    </row>
    <row r="180">
      <c r="A180" s="13" t="n"/>
      <c r="B180" s="6" t="n"/>
      <c r="C180" s="6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6" t="n"/>
      <c r="O180" s="6" t="n"/>
      <c r="P180" s="14">
        <f>IF($B180="","",(E180="Claro")*'Critérios e pesos'!$G$5+(E180="Em parte")*'Critérios e pesos'!$G$5/2+(F180="Claro")*'Critérios e pesos'!$G$6+(F180="Em parte")*'Critérios e pesos'!$G$6/2+(G180="Claro")*'Critérios e pesos'!$G$7+(G180="Em parte")*'Critérios e pesos'!$G$7/2+(H180="Claro")*'Critérios e pesos'!$G$8+(H180="Em parte")*'Critérios e pesos'!$G$8/2)</f>
        <v/>
      </c>
      <c r="Q180" s="14">
        <f>IF($B180="","",(I180="Claro")*'Critérios e pesos'!$G$9+(I180="Em parte")*'Critérios e pesos'!$G$9/2+(J180="Claro")*'Critérios e pesos'!$G$10+(J180="Em parte")*'Critérios e pesos'!$G$10/2+(K180="Claro")*'Critérios e pesos'!$G$11+(K180="Em parte")*'Critérios e pesos'!$G$11/2+(L180="Claro")*'Critérios e pesos'!$G$12+(L180="Em parte")*'Critérios e pesos'!$G$12/2+(M180="Claro")*'Critérios e pesos'!$G$13+(M180="Em parte")*'Critérios e pesos'!$G$13/2)</f>
        <v/>
      </c>
      <c r="R180" s="14">
        <f>IF($B180="","",IFERROR(VLOOKUP(N180,'Critérios e pesos'!$B$17:$C$20,2,FALSE),0))</f>
        <v/>
      </c>
      <c r="S180" s="9">
        <f>IF($B180="","",MAX(0,P180+Q180+R180))</f>
        <v/>
      </c>
      <c r="T180" s="9">
        <f>IF($B180="","",IF(O180&lt;&gt;"","X",IF(S180&gt;='Critérios e pesos'!$C$29,"A",IF(S180&gt;='Critérios e pesos'!$C$30,"B","C"))))</f>
        <v/>
      </c>
      <c r="U180" s="14">
        <f>IF(T180="","",INDEX('Critérios e pesos'!$D$29:$D$32,MATCH(T180,'Critérios e pesos'!$A$29:$A$32,0)))</f>
        <v/>
      </c>
      <c r="V180" s="14">
        <f>IF(T180="","",INDEX('Critérios e pesos'!$F$29:$F$32,MATCH(T180,'Critérios e pesos'!$A$29:$A$32,0)))</f>
        <v/>
      </c>
      <c r="W180" s="15">
        <f>IF(OR(AH180="",AJ180=""),"",IF(AI180+AJ180*60&lt;=ROUND('Critérios e pesos'!$C$37*1440,0),INT(AH180)+(AI180+AJ180*60)/1440,WORKDAY(INT(AH180),1+INT((AI180+AJ180*60-ROUND('Critérios e pesos'!$C$37*1440,0)-1)/(ROUND('Critérios e pesos'!$C$37*1440,0)-ROUND('Critérios e pesos'!$C$36*1440,0))))+(ROUND('Critérios e pesos'!$C$36*1440,0)+AI180+AJ180*60-ROUND('Critérios e pesos'!$C$37*1440,0)-INT((AI180+AJ180*60-ROUND('Critérios e pesos'!$C$37*1440,0)-1)/(ROUND('Critérios e pesos'!$C$37*1440,0)-ROUND('Critérios e pesos'!$C$36*1440,0)))*(ROUND('Critérios e pesos'!$C$37*1440,0)-ROUND('Critérios e pesos'!$C$36*1440,0)))/1440))</f>
        <v/>
      </c>
      <c r="X180" s="16" t="n"/>
      <c r="Y180" s="14">
        <f>IF(W180="","",IF(X180="",IF(NOW()&gt;W180,"Atrasado","Em espera"),IF(X180&lt;=W180,"No prazo","Atrasado")))</f>
        <v/>
      </c>
      <c r="Z180" s="17" t="n"/>
      <c r="AA180" s="14">
        <f>IF($B180="","",IF(OR(T180="X",AD180&lt;&gt;""),0,MAX(0,MIN(Q180,'Critérios e pesos'!$C$38*INT((TODAY()-IF(Z180&lt;&gt;"",Z180,INT($A180)))/7)))))</f>
        <v/>
      </c>
      <c r="AB180" s="14">
        <f>IF($B180="","",MAX(0,S180-AA180))</f>
        <v/>
      </c>
      <c r="AC180" s="9">
        <f>IF($B180="","",IF(T180="X","X",IF(AB180&gt;='Critérios e pesos'!$C$29,"A",IF(AB180&gt;='Critérios e pesos'!$C$30,"B","C"))))</f>
        <v/>
      </c>
      <c r="AD180" s="4" t="n"/>
      <c r="AE180" s="18" t="n"/>
      <c r="AF180" s="6" t="n"/>
      <c r="AH180">
        <f>IF($A180="","",IF(OR(WEEKDAY($A180,2)&gt;5,ROUND(MOD($A180,1)*1440,0)&gt;=ROUND('Critérios e pesos'!$C$37*1440,0)),WORKDAY(INT($A180),1)+ROUND('Critérios e pesos'!$C$36*1440,0)/1440,IF(ROUND(MOD($A180,1)*1440,0)&lt;ROUND('Critérios e pesos'!$C$36*1440,0),INT($A180)+ROUND('Critérios e pesos'!$C$36*1440,0)/1440,$A180)))</f>
        <v/>
      </c>
      <c r="AI180">
        <f>IF(AH180="","",ROUND(MOD(AH180,1)*1440,0))</f>
        <v/>
      </c>
      <c r="AJ180">
        <f>IF(T180="","",INDEX('Critérios e pesos'!$E$29:$E$32,MATCH(T180,'Critérios e pesos'!$A$29:$A$32,0)))</f>
        <v/>
      </c>
    </row>
    <row r="181">
      <c r="A181" s="13" t="n"/>
      <c r="B181" s="6" t="n"/>
      <c r="C181" s="6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6" t="n"/>
      <c r="O181" s="6" t="n"/>
      <c r="P181" s="14">
        <f>IF($B181="","",(E181="Claro")*'Critérios e pesos'!$G$5+(E181="Em parte")*'Critérios e pesos'!$G$5/2+(F181="Claro")*'Critérios e pesos'!$G$6+(F181="Em parte")*'Critérios e pesos'!$G$6/2+(G181="Claro")*'Critérios e pesos'!$G$7+(G181="Em parte")*'Critérios e pesos'!$G$7/2+(H181="Claro")*'Critérios e pesos'!$G$8+(H181="Em parte")*'Critérios e pesos'!$G$8/2)</f>
        <v/>
      </c>
      <c r="Q181" s="14">
        <f>IF($B181="","",(I181="Claro")*'Critérios e pesos'!$G$9+(I181="Em parte")*'Critérios e pesos'!$G$9/2+(J181="Claro")*'Critérios e pesos'!$G$10+(J181="Em parte")*'Critérios e pesos'!$G$10/2+(K181="Claro")*'Critérios e pesos'!$G$11+(K181="Em parte")*'Critérios e pesos'!$G$11/2+(L181="Claro")*'Critérios e pesos'!$G$12+(L181="Em parte")*'Critérios e pesos'!$G$12/2+(M181="Claro")*'Critérios e pesos'!$G$13+(M181="Em parte")*'Critérios e pesos'!$G$13/2)</f>
        <v/>
      </c>
      <c r="R181" s="14">
        <f>IF($B181="","",IFERROR(VLOOKUP(N181,'Critérios e pesos'!$B$17:$C$20,2,FALSE),0))</f>
        <v/>
      </c>
      <c r="S181" s="9">
        <f>IF($B181="","",MAX(0,P181+Q181+R181))</f>
        <v/>
      </c>
      <c r="T181" s="9">
        <f>IF($B181="","",IF(O181&lt;&gt;"","X",IF(S181&gt;='Critérios e pesos'!$C$29,"A",IF(S181&gt;='Critérios e pesos'!$C$30,"B","C"))))</f>
        <v/>
      </c>
      <c r="U181" s="14">
        <f>IF(T181="","",INDEX('Critérios e pesos'!$D$29:$D$32,MATCH(T181,'Critérios e pesos'!$A$29:$A$32,0)))</f>
        <v/>
      </c>
      <c r="V181" s="14">
        <f>IF(T181="","",INDEX('Critérios e pesos'!$F$29:$F$32,MATCH(T181,'Critérios e pesos'!$A$29:$A$32,0)))</f>
        <v/>
      </c>
      <c r="W181" s="15">
        <f>IF(OR(AH181="",AJ181=""),"",IF(AI181+AJ181*60&lt;=ROUND('Critérios e pesos'!$C$37*1440,0),INT(AH181)+(AI181+AJ181*60)/1440,WORKDAY(INT(AH181),1+INT((AI181+AJ181*60-ROUND('Critérios e pesos'!$C$37*1440,0)-1)/(ROUND('Critérios e pesos'!$C$37*1440,0)-ROUND('Critérios e pesos'!$C$36*1440,0))))+(ROUND('Critérios e pesos'!$C$36*1440,0)+AI181+AJ181*60-ROUND('Critérios e pesos'!$C$37*1440,0)-INT((AI181+AJ181*60-ROUND('Critérios e pesos'!$C$37*1440,0)-1)/(ROUND('Critérios e pesos'!$C$37*1440,0)-ROUND('Critérios e pesos'!$C$36*1440,0)))*(ROUND('Critérios e pesos'!$C$37*1440,0)-ROUND('Critérios e pesos'!$C$36*1440,0)))/1440))</f>
        <v/>
      </c>
      <c r="X181" s="16" t="n"/>
      <c r="Y181" s="14">
        <f>IF(W181="","",IF(X181="",IF(NOW()&gt;W181,"Atrasado","Em espera"),IF(X181&lt;=W181,"No prazo","Atrasado")))</f>
        <v/>
      </c>
      <c r="Z181" s="17" t="n"/>
      <c r="AA181" s="14">
        <f>IF($B181="","",IF(OR(T181="X",AD181&lt;&gt;""),0,MAX(0,MIN(Q181,'Critérios e pesos'!$C$38*INT((TODAY()-IF(Z181&lt;&gt;"",Z181,INT($A181)))/7)))))</f>
        <v/>
      </c>
      <c r="AB181" s="14">
        <f>IF($B181="","",MAX(0,S181-AA181))</f>
        <v/>
      </c>
      <c r="AC181" s="9">
        <f>IF($B181="","",IF(T181="X","X",IF(AB181&gt;='Critérios e pesos'!$C$29,"A",IF(AB181&gt;='Critérios e pesos'!$C$30,"B","C"))))</f>
        <v/>
      </c>
      <c r="AD181" s="4" t="n"/>
      <c r="AE181" s="18" t="n"/>
      <c r="AF181" s="6" t="n"/>
      <c r="AH181">
        <f>IF($A181="","",IF(OR(WEEKDAY($A181,2)&gt;5,ROUND(MOD($A181,1)*1440,0)&gt;=ROUND('Critérios e pesos'!$C$37*1440,0)),WORKDAY(INT($A181),1)+ROUND('Critérios e pesos'!$C$36*1440,0)/1440,IF(ROUND(MOD($A181,1)*1440,0)&lt;ROUND('Critérios e pesos'!$C$36*1440,0),INT($A181)+ROUND('Critérios e pesos'!$C$36*1440,0)/1440,$A181)))</f>
        <v/>
      </c>
      <c r="AI181">
        <f>IF(AH181="","",ROUND(MOD(AH181,1)*1440,0))</f>
        <v/>
      </c>
      <c r="AJ181">
        <f>IF(T181="","",INDEX('Critérios e pesos'!$E$29:$E$32,MATCH(T181,'Critérios e pesos'!$A$29:$A$32,0)))</f>
        <v/>
      </c>
    </row>
    <row r="182">
      <c r="A182" s="13" t="n"/>
      <c r="B182" s="6" t="n"/>
      <c r="C182" s="6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6" t="n"/>
      <c r="O182" s="6" t="n"/>
      <c r="P182" s="14">
        <f>IF($B182="","",(E182="Claro")*'Critérios e pesos'!$G$5+(E182="Em parte")*'Critérios e pesos'!$G$5/2+(F182="Claro")*'Critérios e pesos'!$G$6+(F182="Em parte")*'Critérios e pesos'!$G$6/2+(G182="Claro")*'Critérios e pesos'!$G$7+(G182="Em parte")*'Critérios e pesos'!$G$7/2+(H182="Claro")*'Critérios e pesos'!$G$8+(H182="Em parte")*'Critérios e pesos'!$G$8/2)</f>
        <v/>
      </c>
      <c r="Q182" s="14">
        <f>IF($B182="","",(I182="Claro")*'Critérios e pesos'!$G$9+(I182="Em parte")*'Critérios e pesos'!$G$9/2+(J182="Claro")*'Critérios e pesos'!$G$10+(J182="Em parte")*'Critérios e pesos'!$G$10/2+(K182="Claro")*'Critérios e pesos'!$G$11+(K182="Em parte")*'Critérios e pesos'!$G$11/2+(L182="Claro")*'Critérios e pesos'!$G$12+(L182="Em parte")*'Critérios e pesos'!$G$12/2+(M182="Claro")*'Critérios e pesos'!$G$13+(M182="Em parte")*'Critérios e pesos'!$G$13/2)</f>
        <v/>
      </c>
      <c r="R182" s="14">
        <f>IF($B182="","",IFERROR(VLOOKUP(N182,'Critérios e pesos'!$B$17:$C$20,2,FALSE),0))</f>
        <v/>
      </c>
      <c r="S182" s="9">
        <f>IF($B182="","",MAX(0,P182+Q182+R182))</f>
        <v/>
      </c>
      <c r="T182" s="9">
        <f>IF($B182="","",IF(O182&lt;&gt;"","X",IF(S182&gt;='Critérios e pesos'!$C$29,"A",IF(S182&gt;='Critérios e pesos'!$C$30,"B","C"))))</f>
        <v/>
      </c>
      <c r="U182" s="14">
        <f>IF(T182="","",INDEX('Critérios e pesos'!$D$29:$D$32,MATCH(T182,'Critérios e pesos'!$A$29:$A$32,0)))</f>
        <v/>
      </c>
      <c r="V182" s="14">
        <f>IF(T182="","",INDEX('Critérios e pesos'!$F$29:$F$32,MATCH(T182,'Critérios e pesos'!$A$29:$A$32,0)))</f>
        <v/>
      </c>
      <c r="W182" s="15">
        <f>IF(OR(AH182="",AJ182=""),"",IF(AI182+AJ182*60&lt;=ROUND('Critérios e pesos'!$C$37*1440,0),INT(AH182)+(AI182+AJ182*60)/1440,WORKDAY(INT(AH182),1+INT((AI182+AJ182*60-ROUND('Critérios e pesos'!$C$37*1440,0)-1)/(ROUND('Critérios e pesos'!$C$37*1440,0)-ROUND('Critérios e pesos'!$C$36*1440,0))))+(ROUND('Critérios e pesos'!$C$36*1440,0)+AI182+AJ182*60-ROUND('Critérios e pesos'!$C$37*1440,0)-INT((AI182+AJ182*60-ROUND('Critérios e pesos'!$C$37*1440,0)-1)/(ROUND('Critérios e pesos'!$C$37*1440,0)-ROUND('Critérios e pesos'!$C$36*1440,0)))*(ROUND('Critérios e pesos'!$C$37*1440,0)-ROUND('Critérios e pesos'!$C$36*1440,0)))/1440))</f>
        <v/>
      </c>
      <c r="X182" s="16" t="n"/>
      <c r="Y182" s="14">
        <f>IF(W182="","",IF(X182="",IF(NOW()&gt;W182,"Atrasado","Em espera"),IF(X182&lt;=W182,"No prazo","Atrasado")))</f>
        <v/>
      </c>
      <c r="Z182" s="17" t="n"/>
      <c r="AA182" s="14">
        <f>IF($B182="","",IF(OR(T182="X",AD182&lt;&gt;""),0,MAX(0,MIN(Q182,'Critérios e pesos'!$C$38*INT((TODAY()-IF(Z182&lt;&gt;"",Z182,INT($A182)))/7)))))</f>
        <v/>
      </c>
      <c r="AB182" s="14">
        <f>IF($B182="","",MAX(0,S182-AA182))</f>
        <v/>
      </c>
      <c r="AC182" s="9">
        <f>IF($B182="","",IF(T182="X","X",IF(AB182&gt;='Critérios e pesos'!$C$29,"A",IF(AB182&gt;='Critérios e pesos'!$C$30,"B","C"))))</f>
        <v/>
      </c>
      <c r="AD182" s="4" t="n"/>
      <c r="AE182" s="18" t="n"/>
      <c r="AF182" s="6" t="n"/>
      <c r="AH182">
        <f>IF($A182="","",IF(OR(WEEKDAY($A182,2)&gt;5,ROUND(MOD($A182,1)*1440,0)&gt;=ROUND('Critérios e pesos'!$C$37*1440,0)),WORKDAY(INT($A182),1)+ROUND('Critérios e pesos'!$C$36*1440,0)/1440,IF(ROUND(MOD($A182,1)*1440,0)&lt;ROUND('Critérios e pesos'!$C$36*1440,0),INT($A182)+ROUND('Critérios e pesos'!$C$36*1440,0)/1440,$A182)))</f>
        <v/>
      </c>
      <c r="AI182">
        <f>IF(AH182="","",ROUND(MOD(AH182,1)*1440,0))</f>
        <v/>
      </c>
      <c r="AJ182">
        <f>IF(T182="","",INDEX('Critérios e pesos'!$E$29:$E$32,MATCH(T182,'Critérios e pesos'!$A$29:$A$32,0)))</f>
        <v/>
      </c>
    </row>
    <row r="183">
      <c r="A183" s="13" t="n"/>
      <c r="B183" s="6" t="n"/>
      <c r="C183" s="6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6" t="n"/>
      <c r="O183" s="6" t="n"/>
      <c r="P183" s="14">
        <f>IF($B183="","",(E183="Claro")*'Critérios e pesos'!$G$5+(E183="Em parte")*'Critérios e pesos'!$G$5/2+(F183="Claro")*'Critérios e pesos'!$G$6+(F183="Em parte")*'Critérios e pesos'!$G$6/2+(G183="Claro")*'Critérios e pesos'!$G$7+(G183="Em parte")*'Critérios e pesos'!$G$7/2+(H183="Claro")*'Critérios e pesos'!$G$8+(H183="Em parte")*'Critérios e pesos'!$G$8/2)</f>
        <v/>
      </c>
      <c r="Q183" s="14">
        <f>IF($B183="","",(I183="Claro")*'Critérios e pesos'!$G$9+(I183="Em parte")*'Critérios e pesos'!$G$9/2+(J183="Claro")*'Critérios e pesos'!$G$10+(J183="Em parte")*'Critérios e pesos'!$G$10/2+(K183="Claro")*'Critérios e pesos'!$G$11+(K183="Em parte")*'Critérios e pesos'!$G$11/2+(L183="Claro")*'Critérios e pesos'!$G$12+(L183="Em parte")*'Critérios e pesos'!$G$12/2+(M183="Claro")*'Critérios e pesos'!$G$13+(M183="Em parte")*'Critérios e pesos'!$G$13/2)</f>
        <v/>
      </c>
      <c r="R183" s="14">
        <f>IF($B183="","",IFERROR(VLOOKUP(N183,'Critérios e pesos'!$B$17:$C$20,2,FALSE),0))</f>
        <v/>
      </c>
      <c r="S183" s="9">
        <f>IF($B183="","",MAX(0,P183+Q183+R183))</f>
        <v/>
      </c>
      <c r="T183" s="9">
        <f>IF($B183="","",IF(O183&lt;&gt;"","X",IF(S183&gt;='Critérios e pesos'!$C$29,"A",IF(S183&gt;='Critérios e pesos'!$C$30,"B","C"))))</f>
        <v/>
      </c>
      <c r="U183" s="14">
        <f>IF(T183="","",INDEX('Critérios e pesos'!$D$29:$D$32,MATCH(T183,'Critérios e pesos'!$A$29:$A$32,0)))</f>
        <v/>
      </c>
      <c r="V183" s="14">
        <f>IF(T183="","",INDEX('Critérios e pesos'!$F$29:$F$32,MATCH(T183,'Critérios e pesos'!$A$29:$A$32,0)))</f>
        <v/>
      </c>
      <c r="W183" s="15">
        <f>IF(OR(AH183="",AJ183=""),"",IF(AI183+AJ183*60&lt;=ROUND('Critérios e pesos'!$C$37*1440,0),INT(AH183)+(AI183+AJ183*60)/1440,WORKDAY(INT(AH183),1+INT((AI183+AJ183*60-ROUND('Critérios e pesos'!$C$37*1440,0)-1)/(ROUND('Critérios e pesos'!$C$37*1440,0)-ROUND('Critérios e pesos'!$C$36*1440,0))))+(ROUND('Critérios e pesos'!$C$36*1440,0)+AI183+AJ183*60-ROUND('Critérios e pesos'!$C$37*1440,0)-INT((AI183+AJ183*60-ROUND('Critérios e pesos'!$C$37*1440,0)-1)/(ROUND('Critérios e pesos'!$C$37*1440,0)-ROUND('Critérios e pesos'!$C$36*1440,0)))*(ROUND('Critérios e pesos'!$C$37*1440,0)-ROUND('Critérios e pesos'!$C$36*1440,0)))/1440))</f>
        <v/>
      </c>
      <c r="X183" s="16" t="n"/>
      <c r="Y183" s="14">
        <f>IF(W183="","",IF(X183="",IF(NOW()&gt;W183,"Atrasado","Em espera"),IF(X183&lt;=W183,"No prazo","Atrasado")))</f>
        <v/>
      </c>
      <c r="Z183" s="17" t="n"/>
      <c r="AA183" s="14">
        <f>IF($B183="","",IF(OR(T183="X",AD183&lt;&gt;""),0,MAX(0,MIN(Q183,'Critérios e pesos'!$C$38*INT((TODAY()-IF(Z183&lt;&gt;"",Z183,INT($A183)))/7)))))</f>
        <v/>
      </c>
      <c r="AB183" s="14">
        <f>IF($B183="","",MAX(0,S183-AA183))</f>
        <v/>
      </c>
      <c r="AC183" s="9">
        <f>IF($B183="","",IF(T183="X","X",IF(AB183&gt;='Critérios e pesos'!$C$29,"A",IF(AB183&gt;='Critérios e pesos'!$C$30,"B","C"))))</f>
        <v/>
      </c>
      <c r="AD183" s="4" t="n"/>
      <c r="AE183" s="18" t="n"/>
      <c r="AF183" s="6" t="n"/>
      <c r="AH183">
        <f>IF($A183="","",IF(OR(WEEKDAY($A183,2)&gt;5,ROUND(MOD($A183,1)*1440,0)&gt;=ROUND('Critérios e pesos'!$C$37*1440,0)),WORKDAY(INT($A183),1)+ROUND('Critérios e pesos'!$C$36*1440,0)/1440,IF(ROUND(MOD($A183,1)*1440,0)&lt;ROUND('Critérios e pesos'!$C$36*1440,0),INT($A183)+ROUND('Critérios e pesos'!$C$36*1440,0)/1440,$A183)))</f>
        <v/>
      </c>
      <c r="AI183">
        <f>IF(AH183="","",ROUND(MOD(AH183,1)*1440,0))</f>
        <v/>
      </c>
      <c r="AJ183">
        <f>IF(T183="","",INDEX('Critérios e pesos'!$E$29:$E$32,MATCH(T183,'Critérios e pesos'!$A$29:$A$32,0)))</f>
        <v/>
      </c>
    </row>
    <row r="184">
      <c r="A184" s="13" t="n"/>
      <c r="B184" s="6" t="n"/>
      <c r="C184" s="6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6" t="n"/>
      <c r="O184" s="6" t="n"/>
      <c r="P184" s="14">
        <f>IF($B184="","",(E184="Claro")*'Critérios e pesos'!$G$5+(E184="Em parte")*'Critérios e pesos'!$G$5/2+(F184="Claro")*'Critérios e pesos'!$G$6+(F184="Em parte")*'Critérios e pesos'!$G$6/2+(G184="Claro")*'Critérios e pesos'!$G$7+(G184="Em parte")*'Critérios e pesos'!$G$7/2+(H184="Claro")*'Critérios e pesos'!$G$8+(H184="Em parte")*'Critérios e pesos'!$G$8/2)</f>
        <v/>
      </c>
      <c r="Q184" s="14">
        <f>IF($B184="","",(I184="Claro")*'Critérios e pesos'!$G$9+(I184="Em parte")*'Critérios e pesos'!$G$9/2+(J184="Claro")*'Critérios e pesos'!$G$10+(J184="Em parte")*'Critérios e pesos'!$G$10/2+(K184="Claro")*'Critérios e pesos'!$G$11+(K184="Em parte")*'Critérios e pesos'!$G$11/2+(L184="Claro")*'Critérios e pesos'!$G$12+(L184="Em parte")*'Critérios e pesos'!$G$12/2+(M184="Claro")*'Critérios e pesos'!$G$13+(M184="Em parte")*'Critérios e pesos'!$G$13/2)</f>
        <v/>
      </c>
      <c r="R184" s="14">
        <f>IF($B184="","",IFERROR(VLOOKUP(N184,'Critérios e pesos'!$B$17:$C$20,2,FALSE),0))</f>
        <v/>
      </c>
      <c r="S184" s="9">
        <f>IF($B184="","",MAX(0,P184+Q184+R184))</f>
        <v/>
      </c>
      <c r="T184" s="9">
        <f>IF($B184="","",IF(O184&lt;&gt;"","X",IF(S184&gt;='Critérios e pesos'!$C$29,"A",IF(S184&gt;='Critérios e pesos'!$C$30,"B","C"))))</f>
        <v/>
      </c>
      <c r="U184" s="14">
        <f>IF(T184="","",INDEX('Critérios e pesos'!$D$29:$D$32,MATCH(T184,'Critérios e pesos'!$A$29:$A$32,0)))</f>
        <v/>
      </c>
      <c r="V184" s="14">
        <f>IF(T184="","",INDEX('Critérios e pesos'!$F$29:$F$32,MATCH(T184,'Critérios e pesos'!$A$29:$A$32,0)))</f>
        <v/>
      </c>
      <c r="W184" s="15">
        <f>IF(OR(AH184="",AJ184=""),"",IF(AI184+AJ184*60&lt;=ROUND('Critérios e pesos'!$C$37*1440,0),INT(AH184)+(AI184+AJ184*60)/1440,WORKDAY(INT(AH184),1+INT((AI184+AJ184*60-ROUND('Critérios e pesos'!$C$37*1440,0)-1)/(ROUND('Critérios e pesos'!$C$37*1440,0)-ROUND('Critérios e pesos'!$C$36*1440,0))))+(ROUND('Critérios e pesos'!$C$36*1440,0)+AI184+AJ184*60-ROUND('Critérios e pesos'!$C$37*1440,0)-INT((AI184+AJ184*60-ROUND('Critérios e pesos'!$C$37*1440,0)-1)/(ROUND('Critérios e pesos'!$C$37*1440,0)-ROUND('Critérios e pesos'!$C$36*1440,0)))*(ROUND('Critérios e pesos'!$C$37*1440,0)-ROUND('Critérios e pesos'!$C$36*1440,0)))/1440))</f>
        <v/>
      </c>
      <c r="X184" s="16" t="n"/>
      <c r="Y184" s="14">
        <f>IF(W184="","",IF(X184="",IF(NOW()&gt;W184,"Atrasado","Em espera"),IF(X184&lt;=W184,"No prazo","Atrasado")))</f>
        <v/>
      </c>
      <c r="Z184" s="17" t="n"/>
      <c r="AA184" s="14">
        <f>IF($B184="","",IF(OR(T184="X",AD184&lt;&gt;""),0,MAX(0,MIN(Q184,'Critérios e pesos'!$C$38*INT((TODAY()-IF(Z184&lt;&gt;"",Z184,INT($A184)))/7)))))</f>
        <v/>
      </c>
      <c r="AB184" s="14">
        <f>IF($B184="","",MAX(0,S184-AA184))</f>
        <v/>
      </c>
      <c r="AC184" s="9">
        <f>IF($B184="","",IF(T184="X","X",IF(AB184&gt;='Critérios e pesos'!$C$29,"A",IF(AB184&gt;='Critérios e pesos'!$C$30,"B","C"))))</f>
        <v/>
      </c>
      <c r="AD184" s="4" t="n"/>
      <c r="AE184" s="18" t="n"/>
      <c r="AF184" s="6" t="n"/>
      <c r="AH184">
        <f>IF($A184="","",IF(OR(WEEKDAY($A184,2)&gt;5,ROUND(MOD($A184,1)*1440,0)&gt;=ROUND('Critérios e pesos'!$C$37*1440,0)),WORKDAY(INT($A184),1)+ROUND('Critérios e pesos'!$C$36*1440,0)/1440,IF(ROUND(MOD($A184,1)*1440,0)&lt;ROUND('Critérios e pesos'!$C$36*1440,0),INT($A184)+ROUND('Critérios e pesos'!$C$36*1440,0)/1440,$A184)))</f>
        <v/>
      </c>
      <c r="AI184">
        <f>IF(AH184="","",ROUND(MOD(AH184,1)*1440,0))</f>
        <v/>
      </c>
      <c r="AJ184">
        <f>IF(T184="","",INDEX('Critérios e pesos'!$E$29:$E$32,MATCH(T184,'Critérios e pesos'!$A$29:$A$32,0)))</f>
        <v/>
      </c>
    </row>
    <row r="185">
      <c r="A185" s="13" t="n"/>
      <c r="B185" s="6" t="n"/>
      <c r="C185" s="6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6" t="n"/>
      <c r="O185" s="6" t="n"/>
      <c r="P185" s="14">
        <f>IF($B185="","",(E185="Claro")*'Critérios e pesos'!$G$5+(E185="Em parte")*'Critérios e pesos'!$G$5/2+(F185="Claro")*'Critérios e pesos'!$G$6+(F185="Em parte")*'Critérios e pesos'!$G$6/2+(G185="Claro")*'Critérios e pesos'!$G$7+(G185="Em parte")*'Critérios e pesos'!$G$7/2+(H185="Claro")*'Critérios e pesos'!$G$8+(H185="Em parte")*'Critérios e pesos'!$G$8/2)</f>
        <v/>
      </c>
      <c r="Q185" s="14">
        <f>IF($B185="","",(I185="Claro")*'Critérios e pesos'!$G$9+(I185="Em parte")*'Critérios e pesos'!$G$9/2+(J185="Claro")*'Critérios e pesos'!$G$10+(J185="Em parte")*'Critérios e pesos'!$G$10/2+(K185="Claro")*'Critérios e pesos'!$G$11+(K185="Em parte")*'Critérios e pesos'!$G$11/2+(L185="Claro")*'Critérios e pesos'!$G$12+(L185="Em parte")*'Critérios e pesos'!$G$12/2+(M185="Claro")*'Critérios e pesos'!$G$13+(M185="Em parte")*'Critérios e pesos'!$G$13/2)</f>
        <v/>
      </c>
      <c r="R185" s="14">
        <f>IF($B185="","",IFERROR(VLOOKUP(N185,'Critérios e pesos'!$B$17:$C$20,2,FALSE),0))</f>
        <v/>
      </c>
      <c r="S185" s="9">
        <f>IF($B185="","",MAX(0,P185+Q185+R185))</f>
        <v/>
      </c>
      <c r="T185" s="9">
        <f>IF($B185="","",IF(O185&lt;&gt;"","X",IF(S185&gt;='Critérios e pesos'!$C$29,"A",IF(S185&gt;='Critérios e pesos'!$C$30,"B","C"))))</f>
        <v/>
      </c>
      <c r="U185" s="14">
        <f>IF(T185="","",INDEX('Critérios e pesos'!$D$29:$D$32,MATCH(T185,'Critérios e pesos'!$A$29:$A$32,0)))</f>
        <v/>
      </c>
      <c r="V185" s="14">
        <f>IF(T185="","",INDEX('Critérios e pesos'!$F$29:$F$32,MATCH(T185,'Critérios e pesos'!$A$29:$A$32,0)))</f>
        <v/>
      </c>
      <c r="W185" s="15">
        <f>IF(OR(AH185="",AJ185=""),"",IF(AI185+AJ185*60&lt;=ROUND('Critérios e pesos'!$C$37*1440,0),INT(AH185)+(AI185+AJ185*60)/1440,WORKDAY(INT(AH185),1+INT((AI185+AJ185*60-ROUND('Critérios e pesos'!$C$37*1440,0)-1)/(ROUND('Critérios e pesos'!$C$37*1440,0)-ROUND('Critérios e pesos'!$C$36*1440,0))))+(ROUND('Critérios e pesos'!$C$36*1440,0)+AI185+AJ185*60-ROUND('Critérios e pesos'!$C$37*1440,0)-INT((AI185+AJ185*60-ROUND('Critérios e pesos'!$C$37*1440,0)-1)/(ROUND('Critérios e pesos'!$C$37*1440,0)-ROUND('Critérios e pesos'!$C$36*1440,0)))*(ROUND('Critérios e pesos'!$C$37*1440,0)-ROUND('Critérios e pesos'!$C$36*1440,0)))/1440))</f>
        <v/>
      </c>
      <c r="X185" s="16" t="n"/>
      <c r="Y185" s="14">
        <f>IF(W185="","",IF(X185="",IF(NOW()&gt;W185,"Atrasado","Em espera"),IF(X185&lt;=W185,"No prazo","Atrasado")))</f>
        <v/>
      </c>
      <c r="Z185" s="17" t="n"/>
      <c r="AA185" s="14">
        <f>IF($B185="","",IF(OR(T185="X",AD185&lt;&gt;""),0,MAX(0,MIN(Q185,'Critérios e pesos'!$C$38*INT((TODAY()-IF(Z185&lt;&gt;"",Z185,INT($A185)))/7)))))</f>
        <v/>
      </c>
      <c r="AB185" s="14">
        <f>IF($B185="","",MAX(0,S185-AA185))</f>
        <v/>
      </c>
      <c r="AC185" s="9">
        <f>IF($B185="","",IF(T185="X","X",IF(AB185&gt;='Critérios e pesos'!$C$29,"A",IF(AB185&gt;='Critérios e pesos'!$C$30,"B","C"))))</f>
        <v/>
      </c>
      <c r="AD185" s="4" t="n"/>
      <c r="AE185" s="18" t="n"/>
      <c r="AF185" s="6" t="n"/>
      <c r="AH185">
        <f>IF($A185="","",IF(OR(WEEKDAY($A185,2)&gt;5,ROUND(MOD($A185,1)*1440,0)&gt;=ROUND('Critérios e pesos'!$C$37*1440,0)),WORKDAY(INT($A185),1)+ROUND('Critérios e pesos'!$C$36*1440,0)/1440,IF(ROUND(MOD($A185,1)*1440,0)&lt;ROUND('Critérios e pesos'!$C$36*1440,0),INT($A185)+ROUND('Critérios e pesos'!$C$36*1440,0)/1440,$A185)))</f>
        <v/>
      </c>
      <c r="AI185">
        <f>IF(AH185="","",ROUND(MOD(AH185,1)*1440,0))</f>
        <v/>
      </c>
      <c r="AJ185">
        <f>IF(T185="","",INDEX('Critérios e pesos'!$E$29:$E$32,MATCH(T185,'Critérios e pesos'!$A$29:$A$32,0)))</f>
        <v/>
      </c>
    </row>
    <row r="186">
      <c r="A186" s="13" t="n"/>
      <c r="B186" s="6" t="n"/>
      <c r="C186" s="6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6" t="n"/>
      <c r="O186" s="6" t="n"/>
      <c r="P186" s="14">
        <f>IF($B186="","",(E186="Claro")*'Critérios e pesos'!$G$5+(E186="Em parte")*'Critérios e pesos'!$G$5/2+(F186="Claro")*'Critérios e pesos'!$G$6+(F186="Em parte")*'Critérios e pesos'!$G$6/2+(G186="Claro")*'Critérios e pesos'!$G$7+(G186="Em parte")*'Critérios e pesos'!$G$7/2+(H186="Claro")*'Critérios e pesos'!$G$8+(H186="Em parte")*'Critérios e pesos'!$G$8/2)</f>
        <v/>
      </c>
      <c r="Q186" s="14">
        <f>IF($B186="","",(I186="Claro")*'Critérios e pesos'!$G$9+(I186="Em parte")*'Critérios e pesos'!$G$9/2+(J186="Claro")*'Critérios e pesos'!$G$10+(J186="Em parte")*'Critérios e pesos'!$G$10/2+(K186="Claro")*'Critérios e pesos'!$G$11+(K186="Em parte")*'Critérios e pesos'!$G$11/2+(L186="Claro")*'Critérios e pesos'!$G$12+(L186="Em parte")*'Critérios e pesos'!$G$12/2+(M186="Claro")*'Critérios e pesos'!$G$13+(M186="Em parte")*'Critérios e pesos'!$G$13/2)</f>
        <v/>
      </c>
      <c r="R186" s="14">
        <f>IF($B186="","",IFERROR(VLOOKUP(N186,'Critérios e pesos'!$B$17:$C$20,2,FALSE),0))</f>
        <v/>
      </c>
      <c r="S186" s="9">
        <f>IF($B186="","",MAX(0,P186+Q186+R186))</f>
        <v/>
      </c>
      <c r="T186" s="9">
        <f>IF($B186="","",IF(O186&lt;&gt;"","X",IF(S186&gt;='Critérios e pesos'!$C$29,"A",IF(S186&gt;='Critérios e pesos'!$C$30,"B","C"))))</f>
        <v/>
      </c>
      <c r="U186" s="14">
        <f>IF(T186="","",INDEX('Critérios e pesos'!$D$29:$D$32,MATCH(T186,'Critérios e pesos'!$A$29:$A$32,0)))</f>
        <v/>
      </c>
      <c r="V186" s="14">
        <f>IF(T186="","",INDEX('Critérios e pesos'!$F$29:$F$32,MATCH(T186,'Critérios e pesos'!$A$29:$A$32,0)))</f>
        <v/>
      </c>
      <c r="W186" s="15">
        <f>IF(OR(AH186="",AJ186=""),"",IF(AI186+AJ186*60&lt;=ROUND('Critérios e pesos'!$C$37*1440,0),INT(AH186)+(AI186+AJ186*60)/1440,WORKDAY(INT(AH186),1+INT((AI186+AJ186*60-ROUND('Critérios e pesos'!$C$37*1440,0)-1)/(ROUND('Critérios e pesos'!$C$37*1440,0)-ROUND('Critérios e pesos'!$C$36*1440,0))))+(ROUND('Critérios e pesos'!$C$36*1440,0)+AI186+AJ186*60-ROUND('Critérios e pesos'!$C$37*1440,0)-INT((AI186+AJ186*60-ROUND('Critérios e pesos'!$C$37*1440,0)-1)/(ROUND('Critérios e pesos'!$C$37*1440,0)-ROUND('Critérios e pesos'!$C$36*1440,0)))*(ROUND('Critérios e pesos'!$C$37*1440,0)-ROUND('Critérios e pesos'!$C$36*1440,0)))/1440))</f>
        <v/>
      </c>
      <c r="X186" s="16" t="n"/>
      <c r="Y186" s="14">
        <f>IF(W186="","",IF(X186="",IF(NOW()&gt;W186,"Atrasado","Em espera"),IF(X186&lt;=W186,"No prazo","Atrasado")))</f>
        <v/>
      </c>
      <c r="Z186" s="17" t="n"/>
      <c r="AA186" s="14">
        <f>IF($B186="","",IF(OR(T186="X",AD186&lt;&gt;""),0,MAX(0,MIN(Q186,'Critérios e pesos'!$C$38*INT((TODAY()-IF(Z186&lt;&gt;"",Z186,INT($A186)))/7)))))</f>
        <v/>
      </c>
      <c r="AB186" s="14">
        <f>IF($B186="","",MAX(0,S186-AA186))</f>
        <v/>
      </c>
      <c r="AC186" s="9">
        <f>IF($B186="","",IF(T186="X","X",IF(AB186&gt;='Critérios e pesos'!$C$29,"A",IF(AB186&gt;='Critérios e pesos'!$C$30,"B","C"))))</f>
        <v/>
      </c>
      <c r="AD186" s="4" t="n"/>
      <c r="AE186" s="18" t="n"/>
      <c r="AF186" s="6" t="n"/>
      <c r="AH186">
        <f>IF($A186="","",IF(OR(WEEKDAY($A186,2)&gt;5,ROUND(MOD($A186,1)*1440,0)&gt;=ROUND('Critérios e pesos'!$C$37*1440,0)),WORKDAY(INT($A186),1)+ROUND('Critérios e pesos'!$C$36*1440,0)/1440,IF(ROUND(MOD($A186,1)*1440,0)&lt;ROUND('Critérios e pesos'!$C$36*1440,0),INT($A186)+ROUND('Critérios e pesos'!$C$36*1440,0)/1440,$A186)))</f>
        <v/>
      </c>
      <c r="AI186">
        <f>IF(AH186="","",ROUND(MOD(AH186,1)*1440,0))</f>
        <v/>
      </c>
      <c r="AJ186">
        <f>IF(T186="","",INDEX('Critérios e pesos'!$E$29:$E$32,MATCH(T186,'Critérios e pesos'!$A$29:$A$32,0)))</f>
        <v/>
      </c>
    </row>
    <row r="187">
      <c r="A187" s="13" t="n"/>
      <c r="B187" s="6" t="n"/>
      <c r="C187" s="6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6" t="n"/>
      <c r="O187" s="6" t="n"/>
      <c r="P187" s="14">
        <f>IF($B187="","",(E187="Claro")*'Critérios e pesos'!$G$5+(E187="Em parte")*'Critérios e pesos'!$G$5/2+(F187="Claro")*'Critérios e pesos'!$G$6+(F187="Em parte")*'Critérios e pesos'!$G$6/2+(G187="Claro")*'Critérios e pesos'!$G$7+(G187="Em parte")*'Critérios e pesos'!$G$7/2+(H187="Claro")*'Critérios e pesos'!$G$8+(H187="Em parte")*'Critérios e pesos'!$G$8/2)</f>
        <v/>
      </c>
      <c r="Q187" s="14">
        <f>IF($B187="","",(I187="Claro")*'Critérios e pesos'!$G$9+(I187="Em parte")*'Critérios e pesos'!$G$9/2+(J187="Claro")*'Critérios e pesos'!$G$10+(J187="Em parte")*'Critérios e pesos'!$G$10/2+(K187="Claro")*'Critérios e pesos'!$G$11+(K187="Em parte")*'Critérios e pesos'!$G$11/2+(L187="Claro")*'Critérios e pesos'!$G$12+(L187="Em parte")*'Critérios e pesos'!$G$12/2+(M187="Claro")*'Critérios e pesos'!$G$13+(M187="Em parte")*'Critérios e pesos'!$G$13/2)</f>
        <v/>
      </c>
      <c r="R187" s="14">
        <f>IF($B187="","",IFERROR(VLOOKUP(N187,'Critérios e pesos'!$B$17:$C$20,2,FALSE),0))</f>
        <v/>
      </c>
      <c r="S187" s="9">
        <f>IF($B187="","",MAX(0,P187+Q187+R187))</f>
        <v/>
      </c>
      <c r="T187" s="9">
        <f>IF($B187="","",IF(O187&lt;&gt;"","X",IF(S187&gt;='Critérios e pesos'!$C$29,"A",IF(S187&gt;='Critérios e pesos'!$C$30,"B","C"))))</f>
        <v/>
      </c>
      <c r="U187" s="14">
        <f>IF(T187="","",INDEX('Critérios e pesos'!$D$29:$D$32,MATCH(T187,'Critérios e pesos'!$A$29:$A$32,0)))</f>
        <v/>
      </c>
      <c r="V187" s="14">
        <f>IF(T187="","",INDEX('Critérios e pesos'!$F$29:$F$32,MATCH(T187,'Critérios e pesos'!$A$29:$A$32,0)))</f>
        <v/>
      </c>
      <c r="W187" s="15">
        <f>IF(OR(AH187="",AJ187=""),"",IF(AI187+AJ187*60&lt;=ROUND('Critérios e pesos'!$C$37*1440,0),INT(AH187)+(AI187+AJ187*60)/1440,WORKDAY(INT(AH187),1+INT((AI187+AJ187*60-ROUND('Critérios e pesos'!$C$37*1440,0)-1)/(ROUND('Critérios e pesos'!$C$37*1440,0)-ROUND('Critérios e pesos'!$C$36*1440,0))))+(ROUND('Critérios e pesos'!$C$36*1440,0)+AI187+AJ187*60-ROUND('Critérios e pesos'!$C$37*1440,0)-INT((AI187+AJ187*60-ROUND('Critérios e pesos'!$C$37*1440,0)-1)/(ROUND('Critérios e pesos'!$C$37*1440,0)-ROUND('Critérios e pesos'!$C$36*1440,0)))*(ROUND('Critérios e pesos'!$C$37*1440,0)-ROUND('Critérios e pesos'!$C$36*1440,0)))/1440))</f>
        <v/>
      </c>
      <c r="X187" s="16" t="n"/>
      <c r="Y187" s="14">
        <f>IF(W187="","",IF(X187="",IF(NOW()&gt;W187,"Atrasado","Em espera"),IF(X187&lt;=W187,"No prazo","Atrasado")))</f>
        <v/>
      </c>
      <c r="Z187" s="17" t="n"/>
      <c r="AA187" s="14">
        <f>IF($B187="","",IF(OR(T187="X",AD187&lt;&gt;""),0,MAX(0,MIN(Q187,'Critérios e pesos'!$C$38*INT((TODAY()-IF(Z187&lt;&gt;"",Z187,INT($A187)))/7)))))</f>
        <v/>
      </c>
      <c r="AB187" s="14">
        <f>IF($B187="","",MAX(0,S187-AA187))</f>
        <v/>
      </c>
      <c r="AC187" s="9">
        <f>IF($B187="","",IF(T187="X","X",IF(AB187&gt;='Critérios e pesos'!$C$29,"A",IF(AB187&gt;='Critérios e pesos'!$C$30,"B","C"))))</f>
        <v/>
      </c>
      <c r="AD187" s="4" t="n"/>
      <c r="AE187" s="18" t="n"/>
      <c r="AF187" s="6" t="n"/>
      <c r="AH187">
        <f>IF($A187="","",IF(OR(WEEKDAY($A187,2)&gt;5,ROUND(MOD($A187,1)*1440,0)&gt;=ROUND('Critérios e pesos'!$C$37*1440,0)),WORKDAY(INT($A187),1)+ROUND('Critérios e pesos'!$C$36*1440,0)/1440,IF(ROUND(MOD($A187,1)*1440,0)&lt;ROUND('Critérios e pesos'!$C$36*1440,0),INT($A187)+ROUND('Critérios e pesos'!$C$36*1440,0)/1440,$A187)))</f>
        <v/>
      </c>
      <c r="AI187">
        <f>IF(AH187="","",ROUND(MOD(AH187,1)*1440,0))</f>
        <v/>
      </c>
      <c r="AJ187">
        <f>IF(T187="","",INDEX('Critérios e pesos'!$E$29:$E$32,MATCH(T187,'Critérios e pesos'!$A$29:$A$32,0)))</f>
        <v/>
      </c>
    </row>
    <row r="188">
      <c r="A188" s="13" t="n"/>
      <c r="B188" s="6" t="n"/>
      <c r="C188" s="6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6" t="n"/>
      <c r="O188" s="6" t="n"/>
      <c r="P188" s="14">
        <f>IF($B188="","",(E188="Claro")*'Critérios e pesos'!$G$5+(E188="Em parte")*'Critérios e pesos'!$G$5/2+(F188="Claro")*'Critérios e pesos'!$G$6+(F188="Em parte")*'Critérios e pesos'!$G$6/2+(G188="Claro")*'Critérios e pesos'!$G$7+(G188="Em parte")*'Critérios e pesos'!$G$7/2+(H188="Claro")*'Critérios e pesos'!$G$8+(H188="Em parte")*'Critérios e pesos'!$G$8/2)</f>
        <v/>
      </c>
      <c r="Q188" s="14">
        <f>IF($B188="","",(I188="Claro")*'Critérios e pesos'!$G$9+(I188="Em parte")*'Critérios e pesos'!$G$9/2+(J188="Claro")*'Critérios e pesos'!$G$10+(J188="Em parte")*'Critérios e pesos'!$G$10/2+(K188="Claro")*'Critérios e pesos'!$G$11+(K188="Em parte")*'Critérios e pesos'!$G$11/2+(L188="Claro")*'Critérios e pesos'!$G$12+(L188="Em parte")*'Critérios e pesos'!$G$12/2+(M188="Claro")*'Critérios e pesos'!$G$13+(M188="Em parte")*'Critérios e pesos'!$G$13/2)</f>
        <v/>
      </c>
      <c r="R188" s="14">
        <f>IF($B188="","",IFERROR(VLOOKUP(N188,'Critérios e pesos'!$B$17:$C$20,2,FALSE),0))</f>
        <v/>
      </c>
      <c r="S188" s="9">
        <f>IF($B188="","",MAX(0,P188+Q188+R188))</f>
        <v/>
      </c>
      <c r="T188" s="9">
        <f>IF($B188="","",IF(O188&lt;&gt;"","X",IF(S188&gt;='Critérios e pesos'!$C$29,"A",IF(S188&gt;='Critérios e pesos'!$C$30,"B","C"))))</f>
        <v/>
      </c>
      <c r="U188" s="14">
        <f>IF(T188="","",INDEX('Critérios e pesos'!$D$29:$D$32,MATCH(T188,'Critérios e pesos'!$A$29:$A$32,0)))</f>
        <v/>
      </c>
      <c r="V188" s="14">
        <f>IF(T188="","",INDEX('Critérios e pesos'!$F$29:$F$32,MATCH(T188,'Critérios e pesos'!$A$29:$A$32,0)))</f>
        <v/>
      </c>
      <c r="W188" s="15">
        <f>IF(OR(AH188="",AJ188=""),"",IF(AI188+AJ188*60&lt;=ROUND('Critérios e pesos'!$C$37*1440,0),INT(AH188)+(AI188+AJ188*60)/1440,WORKDAY(INT(AH188),1+INT((AI188+AJ188*60-ROUND('Critérios e pesos'!$C$37*1440,0)-1)/(ROUND('Critérios e pesos'!$C$37*1440,0)-ROUND('Critérios e pesos'!$C$36*1440,0))))+(ROUND('Critérios e pesos'!$C$36*1440,0)+AI188+AJ188*60-ROUND('Critérios e pesos'!$C$37*1440,0)-INT((AI188+AJ188*60-ROUND('Critérios e pesos'!$C$37*1440,0)-1)/(ROUND('Critérios e pesos'!$C$37*1440,0)-ROUND('Critérios e pesos'!$C$36*1440,0)))*(ROUND('Critérios e pesos'!$C$37*1440,0)-ROUND('Critérios e pesos'!$C$36*1440,0)))/1440))</f>
        <v/>
      </c>
      <c r="X188" s="16" t="n"/>
      <c r="Y188" s="14">
        <f>IF(W188="","",IF(X188="",IF(NOW()&gt;W188,"Atrasado","Em espera"),IF(X188&lt;=W188,"No prazo","Atrasado")))</f>
        <v/>
      </c>
      <c r="Z188" s="17" t="n"/>
      <c r="AA188" s="14">
        <f>IF($B188="","",IF(OR(T188="X",AD188&lt;&gt;""),0,MAX(0,MIN(Q188,'Critérios e pesos'!$C$38*INT((TODAY()-IF(Z188&lt;&gt;"",Z188,INT($A188)))/7)))))</f>
        <v/>
      </c>
      <c r="AB188" s="14">
        <f>IF($B188="","",MAX(0,S188-AA188))</f>
        <v/>
      </c>
      <c r="AC188" s="9">
        <f>IF($B188="","",IF(T188="X","X",IF(AB188&gt;='Critérios e pesos'!$C$29,"A",IF(AB188&gt;='Critérios e pesos'!$C$30,"B","C"))))</f>
        <v/>
      </c>
      <c r="AD188" s="4" t="n"/>
      <c r="AE188" s="18" t="n"/>
      <c r="AF188" s="6" t="n"/>
      <c r="AH188">
        <f>IF($A188="","",IF(OR(WEEKDAY($A188,2)&gt;5,ROUND(MOD($A188,1)*1440,0)&gt;=ROUND('Critérios e pesos'!$C$37*1440,0)),WORKDAY(INT($A188),1)+ROUND('Critérios e pesos'!$C$36*1440,0)/1440,IF(ROUND(MOD($A188,1)*1440,0)&lt;ROUND('Critérios e pesos'!$C$36*1440,0),INT($A188)+ROUND('Critérios e pesos'!$C$36*1440,0)/1440,$A188)))</f>
        <v/>
      </c>
      <c r="AI188">
        <f>IF(AH188="","",ROUND(MOD(AH188,1)*1440,0))</f>
        <v/>
      </c>
      <c r="AJ188">
        <f>IF(T188="","",INDEX('Critérios e pesos'!$E$29:$E$32,MATCH(T188,'Critérios e pesos'!$A$29:$A$32,0)))</f>
        <v/>
      </c>
    </row>
    <row r="189">
      <c r="A189" s="13" t="n"/>
      <c r="B189" s="6" t="n"/>
      <c r="C189" s="6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6" t="n"/>
      <c r="O189" s="6" t="n"/>
      <c r="P189" s="14">
        <f>IF($B189="","",(E189="Claro")*'Critérios e pesos'!$G$5+(E189="Em parte")*'Critérios e pesos'!$G$5/2+(F189="Claro")*'Critérios e pesos'!$G$6+(F189="Em parte")*'Critérios e pesos'!$G$6/2+(G189="Claro")*'Critérios e pesos'!$G$7+(G189="Em parte")*'Critérios e pesos'!$G$7/2+(H189="Claro")*'Critérios e pesos'!$G$8+(H189="Em parte")*'Critérios e pesos'!$G$8/2)</f>
        <v/>
      </c>
      <c r="Q189" s="14">
        <f>IF($B189="","",(I189="Claro")*'Critérios e pesos'!$G$9+(I189="Em parte")*'Critérios e pesos'!$G$9/2+(J189="Claro")*'Critérios e pesos'!$G$10+(J189="Em parte")*'Critérios e pesos'!$G$10/2+(K189="Claro")*'Critérios e pesos'!$G$11+(K189="Em parte")*'Critérios e pesos'!$G$11/2+(L189="Claro")*'Critérios e pesos'!$G$12+(L189="Em parte")*'Critérios e pesos'!$G$12/2+(M189="Claro")*'Critérios e pesos'!$G$13+(M189="Em parte")*'Critérios e pesos'!$G$13/2)</f>
        <v/>
      </c>
      <c r="R189" s="14">
        <f>IF($B189="","",IFERROR(VLOOKUP(N189,'Critérios e pesos'!$B$17:$C$20,2,FALSE),0))</f>
        <v/>
      </c>
      <c r="S189" s="9">
        <f>IF($B189="","",MAX(0,P189+Q189+R189))</f>
        <v/>
      </c>
      <c r="T189" s="9">
        <f>IF($B189="","",IF(O189&lt;&gt;"","X",IF(S189&gt;='Critérios e pesos'!$C$29,"A",IF(S189&gt;='Critérios e pesos'!$C$30,"B","C"))))</f>
        <v/>
      </c>
      <c r="U189" s="14">
        <f>IF(T189="","",INDEX('Critérios e pesos'!$D$29:$D$32,MATCH(T189,'Critérios e pesos'!$A$29:$A$32,0)))</f>
        <v/>
      </c>
      <c r="V189" s="14">
        <f>IF(T189="","",INDEX('Critérios e pesos'!$F$29:$F$32,MATCH(T189,'Critérios e pesos'!$A$29:$A$32,0)))</f>
        <v/>
      </c>
      <c r="W189" s="15">
        <f>IF(OR(AH189="",AJ189=""),"",IF(AI189+AJ189*60&lt;=ROUND('Critérios e pesos'!$C$37*1440,0),INT(AH189)+(AI189+AJ189*60)/1440,WORKDAY(INT(AH189),1+INT((AI189+AJ189*60-ROUND('Critérios e pesos'!$C$37*1440,0)-1)/(ROUND('Critérios e pesos'!$C$37*1440,0)-ROUND('Critérios e pesos'!$C$36*1440,0))))+(ROUND('Critérios e pesos'!$C$36*1440,0)+AI189+AJ189*60-ROUND('Critérios e pesos'!$C$37*1440,0)-INT((AI189+AJ189*60-ROUND('Critérios e pesos'!$C$37*1440,0)-1)/(ROUND('Critérios e pesos'!$C$37*1440,0)-ROUND('Critérios e pesos'!$C$36*1440,0)))*(ROUND('Critérios e pesos'!$C$37*1440,0)-ROUND('Critérios e pesos'!$C$36*1440,0)))/1440))</f>
        <v/>
      </c>
      <c r="X189" s="16" t="n"/>
      <c r="Y189" s="14">
        <f>IF(W189="","",IF(X189="",IF(NOW()&gt;W189,"Atrasado","Em espera"),IF(X189&lt;=W189,"No prazo","Atrasado")))</f>
        <v/>
      </c>
      <c r="Z189" s="17" t="n"/>
      <c r="AA189" s="14">
        <f>IF($B189="","",IF(OR(T189="X",AD189&lt;&gt;""),0,MAX(0,MIN(Q189,'Critérios e pesos'!$C$38*INT((TODAY()-IF(Z189&lt;&gt;"",Z189,INT($A189)))/7)))))</f>
        <v/>
      </c>
      <c r="AB189" s="14">
        <f>IF($B189="","",MAX(0,S189-AA189))</f>
        <v/>
      </c>
      <c r="AC189" s="9">
        <f>IF($B189="","",IF(T189="X","X",IF(AB189&gt;='Critérios e pesos'!$C$29,"A",IF(AB189&gt;='Critérios e pesos'!$C$30,"B","C"))))</f>
        <v/>
      </c>
      <c r="AD189" s="4" t="n"/>
      <c r="AE189" s="18" t="n"/>
      <c r="AF189" s="6" t="n"/>
      <c r="AH189">
        <f>IF($A189="","",IF(OR(WEEKDAY($A189,2)&gt;5,ROUND(MOD($A189,1)*1440,0)&gt;=ROUND('Critérios e pesos'!$C$37*1440,0)),WORKDAY(INT($A189),1)+ROUND('Critérios e pesos'!$C$36*1440,0)/1440,IF(ROUND(MOD($A189,1)*1440,0)&lt;ROUND('Critérios e pesos'!$C$36*1440,0),INT($A189)+ROUND('Critérios e pesos'!$C$36*1440,0)/1440,$A189)))</f>
        <v/>
      </c>
      <c r="AI189">
        <f>IF(AH189="","",ROUND(MOD(AH189,1)*1440,0))</f>
        <v/>
      </c>
      <c r="AJ189">
        <f>IF(T189="","",INDEX('Critérios e pesos'!$E$29:$E$32,MATCH(T189,'Critérios e pesos'!$A$29:$A$32,0)))</f>
        <v/>
      </c>
    </row>
    <row r="190">
      <c r="A190" s="13" t="n"/>
      <c r="B190" s="6" t="n"/>
      <c r="C190" s="6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6" t="n"/>
      <c r="O190" s="6" t="n"/>
      <c r="P190" s="14">
        <f>IF($B190="","",(E190="Claro")*'Critérios e pesos'!$G$5+(E190="Em parte")*'Critérios e pesos'!$G$5/2+(F190="Claro")*'Critérios e pesos'!$G$6+(F190="Em parte")*'Critérios e pesos'!$G$6/2+(G190="Claro")*'Critérios e pesos'!$G$7+(G190="Em parte")*'Critérios e pesos'!$G$7/2+(H190="Claro")*'Critérios e pesos'!$G$8+(H190="Em parte")*'Critérios e pesos'!$G$8/2)</f>
        <v/>
      </c>
      <c r="Q190" s="14">
        <f>IF($B190="","",(I190="Claro")*'Critérios e pesos'!$G$9+(I190="Em parte")*'Critérios e pesos'!$G$9/2+(J190="Claro")*'Critérios e pesos'!$G$10+(J190="Em parte")*'Critérios e pesos'!$G$10/2+(K190="Claro")*'Critérios e pesos'!$G$11+(K190="Em parte")*'Critérios e pesos'!$G$11/2+(L190="Claro")*'Critérios e pesos'!$G$12+(L190="Em parte")*'Critérios e pesos'!$G$12/2+(M190="Claro")*'Critérios e pesos'!$G$13+(M190="Em parte")*'Critérios e pesos'!$G$13/2)</f>
        <v/>
      </c>
      <c r="R190" s="14">
        <f>IF($B190="","",IFERROR(VLOOKUP(N190,'Critérios e pesos'!$B$17:$C$20,2,FALSE),0))</f>
        <v/>
      </c>
      <c r="S190" s="9">
        <f>IF($B190="","",MAX(0,P190+Q190+R190))</f>
        <v/>
      </c>
      <c r="T190" s="9">
        <f>IF($B190="","",IF(O190&lt;&gt;"","X",IF(S190&gt;='Critérios e pesos'!$C$29,"A",IF(S190&gt;='Critérios e pesos'!$C$30,"B","C"))))</f>
        <v/>
      </c>
      <c r="U190" s="14">
        <f>IF(T190="","",INDEX('Critérios e pesos'!$D$29:$D$32,MATCH(T190,'Critérios e pesos'!$A$29:$A$32,0)))</f>
        <v/>
      </c>
      <c r="V190" s="14">
        <f>IF(T190="","",INDEX('Critérios e pesos'!$F$29:$F$32,MATCH(T190,'Critérios e pesos'!$A$29:$A$32,0)))</f>
        <v/>
      </c>
      <c r="W190" s="15">
        <f>IF(OR(AH190="",AJ190=""),"",IF(AI190+AJ190*60&lt;=ROUND('Critérios e pesos'!$C$37*1440,0),INT(AH190)+(AI190+AJ190*60)/1440,WORKDAY(INT(AH190),1+INT((AI190+AJ190*60-ROUND('Critérios e pesos'!$C$37*1440,0)-1)/(ROUND('Critérios e pesos'!$C$37*1440,0)-ROUND('Critérios e pesos'!$C$36*1440,0))))+(ROUND('Critérios e pesos'!$C$36*1440,0)+AI190+AJ190*60-ROUND('Critérios e pesos'!$C$37*1440,0)-INT((AI190+AJ190*60-ROUND('Critérios e pesos'!$C$37*1440,0)-1)/(ROUND('Critérios e pesos'!$C$37*1440,0)-ROUND('Critérios e pesos'!$C$36*1440,0)))*(ROUND('Critérios e pesos'!$C$37*1440,0)-ROUND('Critérios e pesos'!$C$36*1440,0)))/1440))</f>
        <v/>
      </c>
      <c r="X190" s="16" t="n"/>
      <c r="Y190" s="14">
        <f>IF(W190="","",IF(X190="",IF(NOW()&gt;W190,"Atrasado","Em espera"),IF(X190&lt;=W190,"No prazo","Atrasado")))</f>
        <v/>
      </c>
      <c r="Z190" s="17" t="n"/>
      <c r="AA190" s="14">
        <f>IF($B190="","",IF(OR(T190="X",AD190&lt;&gt;""),0,MAX(0,MIN(Q190,'Critérios e pesos'!$C$38*INT((TODAY()-IF(Z190&lt;&gt;"",Z190,INT($A190)))/7)))))</f>
        <v/>
      </c>
      <c r="AB190" s="14">
        <f>IF($B190="","",MAX(0,S190-AA190))</f>
        <v/>
      </c>
      <c r="AC190" s="9">
        <f>IF($B190="","",IF(T190="X","X",IF(AB190&gt;='Critérios e pesos'!$C$29,"A",IF(AB190&gt;='Critérios e pesos'!$C$30,"B","C"))))</f>
        <v/>
      </c>
      <c r="AD190" s="4" t="n"/>
      <c r="AE190" s="18" t="n"/>
      <c r="AF190" s="6" t="n"/>
      <c r="AH190">
        <f>IF($A190="","",IF(OR(WEEKDAY($A190,2)&gt;5,ROUND(MOD($A190,1)*1440,0)&gt;=ROUND('Critérios e pesos'!$C$37*1440,0)),WORKDAY(INT($A190),1)+ROUND('Critérios e pesos'!$C$36*1440,0)/1440,IF(ROUND(MOD($A190,1)*1440,0)&lt;ROUND('Critérios e pesos'!$C$36*1440,0),INT($A190)+ROUND('Critérios e pesos'!$C$36*1440,0)/1440,$A190)))</f>
        <v/>
      </c>
      <c r="AI190">
        <f>IF(AH190="","",ROUND(MOD(AH190,1)*1440,0))</f>
        <v/>
      </c>
      <c r="AJ190">
        <f>IF(T190="","",INDEX('Critérios e pesos'!$E$29:$E$32,MATCH(T190,'Critérios e pesos'!$A$29:$A$32,0)))</f>
        <v/>
      </c>
    </row>
    <row r="191">
      <c r="A191" s="13" t="n"/>
      <c r="B191" s="6" t="n"/>
      <c r="C191" s="6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6" t="n"/>
      <c r="O191" s="6" t="n"/>
      <c r="P191" s="14">
        <f>IF($B191="","",(E191="Claro")*'Critérios e pesos'!$G$5+(E191="Em parte")*'Critérios e pesos'!$G$5/2+(F191="Claro")*'Critérios e pesos'!$G$6+(F191="Em parte")*'Critérios e pesos'!$G$6/2+(G191="Claro")*'Critérios e pesos'!$G$7+(G191="Em parte")*'Critérios e pesos'!$G$7/2+(H191="Claro")*'Critérios e pesos'!$G$8+(H191="Em parte")*'Critérios e pesos'!$G$8/2)</f>
        <v/>
      </c>
      <c r="Q191" s="14">
        <f>IF($B191="","",(I191="Claro")*'Critérios e pesos'!$G$9+(I191="Em parte")*'Critérios e pesos'!$G$9/2+(J191="Claro")*'Critérios e pesos'!$G$10+(J191="Em parte")*'Critérios e pesos'!$G$10/2+(K191="Claro")*'Critérios e pesos'!$G$11+(K191="Em parte")*'Critérios e pesos'!$G$11/2+(L191="Claro")*'Critérios e pesos'!$G$12+(L191="Em parte")*'Critérios e pesos'!$G$12/2+(M191="Claro")*'Critérios e pesos'!$G$13+(M191="Em parte")*'Critérios e pesos'!$G$13/2)</f>
        <v/>
      </c>
      <c r="R191" s="14">
        <f>IF($B191="","",IFERROR(VLOOKUP(N191,'Critérios e pesos'!$B$17:$C$20,2,FALSE),0))</f>
        <v/>
      </c>
      <c r="S191" s="9">
        <f>IF($B191="","",MAX(0,P191+Q191+R191))</f>
        <v/>
      </c>
      <c r="T191" s="9">
        <f>IF($B191="","",IF(O191&lt;&gt;"","X",IF(S191&gt;='Critérios e pesos'!$C$29,"A",IF(S191&gt;='Critérios e pesos'!$C$30,"B","C"))))</f>
        <v/>
      </c>
      <c r="U191" s="14">
        <f>IF(T191="","",INDEX('Critérios e pesos'!$D$29:$D$32,MATCH(T191,'Critérios e pesos'!$A$29:$A$32,0)))</f>
        <v/>
      </c>
      <c r="V191" s="14">
        <f>IF(T191="","",INDEX('Critérios e pesos'!$F$29:$F$32,MATCH(T191,'Critérios e pesos'!$A$29:$A$32,0)))</f>
        <v/>
      </c>
      <c r="W191" s="15">
        <f>IF(OR(AH191="",AJ191=""),"",IF(AI191+AJ191*60&lt;=ROUND('Critérios e pesos'!$C$37*1440,0),INT(AH191)+(AI191+AJ191*60)/1440,WORKDAY(INT(AH191),1+INT((AI191+AJ191*60-ROUND('Critérios e pesos'!$C$37*1440,0)-1)/(ROUND('Critérios e pesos'!$C$37*1440,0)-ROUND('Critérios e pesos'!$C$36*1440,0))))+(ROUND('Critérios e pesos'!$C$36*1440,0)+AI191+AJ191*60-ROUND('Critérios e pesos'!$C$37*1440,0)-INT((AI191+AJ191*60-ROUND('Critérios e pesos'!$C$37*1440,0)-1)/(ROUND('Critérios e pesos'!$C$37*1440,0)-ROUND('Critérios e pesos'!$C$36*1440,0)))*(ROUND('Critérios e pesos'!$C$37*1440,0)-ROUND('Critérios e pesos'!$C$36*1440,0)))/1440))</f>
        <v/>
      </c>
      <c r="X191" s="16" t="n"/>
      <c r="Y191" s="14">
        <f>IF(W191="","",IF(X191="",IF(NOW()&gt;W191,"Atrasado","Em espera"),IF(X191&lt;=W191,"No prazo","Atrasado")))</f>
        <v/>
      </c>
      <c r="Z191" s="17" t="n"/>
      <c r="AA191" s="14">
        <f>IF($B191="","",IF(OR(T191="X",AD191&lt;&gt;""),0,MAX(0,MIN(Q191,'Critérios e pesos'!$C$38*INT((TODAY()-IF(Z191&lt;&gt;"",Z191,INT($A191)))/7)))))</f>
        <v/>
      </c>
      <c r="AB191" s="14">
        <f>IF($B191="","",MAX(0,S191-AA191))</f>
        <v/>
      </c>
      <c r="AC191" s="9">
        <f>IF($B191="","",IF(T191="X","X",IF(AB191&gt;='Critérios e pesos'!$C$29,"A",IF(AB191&gt;='Critérios e pesos'!$C$30,"B","C"))))</f>
        <v/>
      </c>
      <c r="AD191" s="4" t="n"/>
      <c r="AE191" s="18" t="n"/>
      <c r="AF191" s="6" t="n"/>
      <c r="AH191">
        <f>IF($A191="","",IF(OR(WEEKDAY($A191,2)&gt;5,ROUND(MOD($A191,1)*1440,0)&gt;=ROUND('Critérios e pesos'!$C$37*1440,0)),WORKDAY(INT($A191),1)+ROUND('Critérios e pesos'!$C$36*1440,0)/1440,IF(ROUND(MOD($A191,1)*1440,0)&lt;ROUND('Critérios e pesos'!$C$36*1440,0),INT($A191)+ROUND('Critérios e pesos'!$C$36*1440,0)/1440,$A191)))</f>
        <v/>
      </c>
      <c r="AI191">
        <f>IF(AH191="","",ROUND(MOD(AH191,1)*1440,0))</f>
        <v/>
      </c>
      <c r="AJ191">
        <f>IF(T191="","",INDEX('Critérios e pesos'!$E$29:$E$32,MATCH(T191,'Critérios e pesos'!$A$29:$A$32,0)))</f>
        <v/>
      </c>
    </row>
    <row r="192">
      <c r="A192" s="13" t="n"/>
      <c r="B192" s="6" t="n"/>
      <c r="C192" s="6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6" t="n"/>
      <c r="O192" s="6" t="n"/>
      <c r="P192" s="14">
        <f>IF($B192="","",(E192="Claro")*'Critérios e pesos'!$G$5+(E192="Em parte")*'Critérios e pesos'!$G$5/2+(F192="Claro")*'Critérios e pesos'!$G$6+(F192="Em parte")*'Critérios e pesos'!$G$6/2+(G192="Claro")*'Critérios e pesos'!$G$7+(G192="Em parte")*'Critérios e pesos'!$G$7/2+(H192="Claro")*'Critérios e pesos'!$G$8+(H192="Em parte")*'Critérios e pesos'!$G$8/2)</f>
        <v/>
      </c>
      <c r="Q192" s="14">
        <f>IF($B192="","",(I192="Claro")*'Critérios e pesos'!$G$9+(I192="Em parte")*'Critérios e pesos'!$G$9/2+(J192="Claro")*'Critérios e pesos'!$G$10+(J192="Em parte")*'Critérios e pesos'!$G$10/2+(K192="Claro")*'Critérios e pesos'!$G$11+(K192="Em parte")*'Critérios e pesos'!$G$11/2+(L192="Claro")*'Critérios e pesos'!$G$12+(L192="Em parte")*'Critérios e pesos'!$G$12/2+(M192="Claro")*'Critérios e pesos'!$G$13+(M192="Em parte")*'Critérios e pesos'!$G$13/2)</f>
        <v/>
      </c>
      <c r="R192" s="14">
        <f>IF($B192="","",IFERROR(VLOOKUP(N192,'Critérios e pesos'!$B$17:$C$20,2,FALSE),0))</f>
        <v/>
      </c>
      <c r="S192" s="9">
        <f>IF($B192="","",MAX(0,P192+Q192+R192))</f>
        <v/>
      </c>
      <c r="T192" s="9">
        <f>IF($B192="","",IF(O192&lt;&gt;"","X",IF(S192&gt;='Critérios e pesos'!$C$29,"A",IF(S192&gt;='Critérios e pesos'!$C$30,"B","C"))))</f>
        <v/>
      </c>
      <c r="U192" s="14">
        <f>IF(T192="","",INDEX('Critérios e pesos'!$D$29:$D$32,MATCH(T192,'Critérios e pesos'!$A$29:$A$32,0)))</f>
        <v/>
      </c>
      <c r="V192" s="14">
        <f>IF(T192="","",INDEX('Critérios e pesos'!$F$29:$F$32,MATCH(T192,'Critérios e pesos'!$A$29:$A$32,0)))</f>
        <v/>
      </c>
      <c r="W192" s="15">
        <f>IF(OR(AH192="",AJ192=""),"",IF(AI192+AJ192*60&lt;=ROUND('Critérios e pesos'!$C$37*1440,0),INT(AH192)+(AI192+AJ192*60)/1440,WORKDAY(INT(AH192),1+INT((AI192+AJ192*60-ROUND('Critérios e pesos'!$C$37*1440,0)-1)/(ROUND('Critérios e pesos'!$C$37*1440,0)-ROUND('Critérios e pesos'!$C$36*1440,0))))+(ROUND('Critérios e pesos'!$C$36*1440,0)+AI192+AJ192*60-ROUND('Critérios e pesos'!$C$37*1440,0)-INT((AI192+AJ192*60-ROUND('Critérios e pesos'!$C$37*1440,0)-1)/(ROUND('Critérios e pesos'!$C$37*1440,0)-ROUND('Critérios e pesos'!$C$36*1440,0)))*(ROUND('Critérios e pesos'!$C$37*1440,0)-ROUND('Critérios e pesos'!$C$36*1440,0)))/1440))</f>
        <v/>
      </c>
      <c r="X192" s="16" t="n"/>
      <c r="Y192" s="14">
        <f>IF(W192="","",IF(X192="",IF(NOW()&gt;W192,"Atrasado","Em espera"),IF(X192&lt;=W192,"No prazo","Atrasado")))</f>
        <v/>
      </c>
      <c r="Z192" s="17" t="n"/>
      <c r="AA192" s="14">
        <f>IF($B192="","",IF(OR(T192="X",AD192&lt;&gt;""),0,MAX(0,MIN(Q192,'Critérios e pesos'!$C$38*INT((TODAY()-IF(Z192&lt;&gt;"",Z192,INT($A192)))/7)))))</f>
        <v/>
      </c>
      <c r="AB192" s="14">
        <f>IF($B192="","",MAX(0,S192-AA192))</f>
        <v/>
      </c>
      <c r="AC192" s="9">
        <f>IF($B192="","",IF(T192="X","X",IF(AB192&gt;='Critérios e pesos'!$C$29,"A",IF(AB192&gt;='Critérios e pesos'!$C$30,"B","C"))))</f>
        <v/>
      </c>
      <c r="AD192" s="4" t="n"/>
      <c r="AE192" s="18" t="n"/>
      <c r="AF192" s="6" t="n"/>
      <c r="AH192">
        <f>IF($A192="","",IF(OR(WEEKDAY($A192,2)&gt;5,ROUND(MOD($A192,1)*1440,0)&gt;=ROUND('Critérios e pesos'!$C$37*1440,0)),WORKDAY(INT($A192),1)+ROUND('Critérios e pesos'!$C$36*1440,0)/1440,IF(ROUND(MOD($A192,1)*1440,0)&lt;ROUND('Critérios e pesos'!$C$36*1440,0),INT($A192)+ROUND('Critérios e pesos'!$C$36*1440,0)/1440,$A192)))</f>
        <v/>
      </c>
      <c r="AI192">
        <f>IF(AH192="","",ROUND(MOD(AH192,1)*1440,0))</f>
        <v/>
      </c>
      <c r="AJ192">
        <f>IF(T192="","",INDEX('Critérios e pesos'!$E$29:$E$32,MATCH(T192,'Critérios e pesos'!$A$29:$A$32,0)))</f>
        <v/>
      </c>
    </row>
    <row r="193">
      <c r="A193" s="13" t="n"/>
      <c r="B193" s="6" t="n"/>
      <c r="C193" s="6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6" t="n"/>
      <c r="O193" s="6" t="n"/>
      <c r="P193" s="14">
        <f>IF($B193="","",(E193="Claro")*'Critérios e pesos'!$G$5+(E193="Em parte")*'Critérios e pesos'!$G$5/2+(F193="Claro")*'Critérios e pesos'!$G$6+(F193="Em parte")*'Critérios e pesos'!$G$6/2+(G193="Claro")*'Critérios e pesos'!$G$7+(G193="Em parte")*'Critérios e pesos'!$G$7/2+(H193="Claro")*'Critérios e pesos'!$G$8+(H193="Em parte")*'Critérios e pesos'!$G$8/2)</f>
        <v/>
      </c>
      <c r="Q193" s="14">
        <f>IF($B193="","",(I193="Claro")*'Critérios e pesos'!$G$9+(I193="Em parte")*'Critérios e pesos'!$G$9/2+(J193="Claro")*'Critérios e pesos'!$G$10+(J193="Em parte")*'Critérios e pesos'!$G$10/2+(K193="Claro")*'Critérios e pesos'!$G$11+(K193="Em parte")*'Critérios e pesos'!$G$11/2+(L193="Claro")*'Critérios e pesos'!$G$12+(L193="Em parte")*'Critérios e pesos'!$G$12/2+(M193="Claro")*'Critérios e pesos'!$G$13+(M193="Em parte")*'Critérios e pesos'!$G$13/2)</f>
        <v/>
      </c>
      <c r="R193" s="14">
        <f>IF($B193="","",IFERROR(VLOOKUP(N193,'Critérios e pesos'!$B$17:$C$20,2,FALSE),0))</f>
        <v/>
      </c>
      <c r="S193" s="9">
        <f>IF($B193="","",MAX(0,P193+Q193+R193))</f>
        <v/>
      </c>
      <c r="T193" s="9">
        <f>IF($B193="","",IF(O193&lt;&gt;"","X",IF(S193&gt;='Critérios e pesos'!$C$29,"A",IF(S193&gt;='Critérios e pesos'!$C$30,"B","C"))))</f>
        <v/>
      </c>
      <c r="U193" s="14">
        <f>IF(T193="","",INDEX('Critérios e pesos'!$D$29:$D$32,MATCH(T193,'Critérios e pesos'!$A$29:$A$32,0)))</f>
        <v/>
      </c>
      <c r="V193" s="14">
        <f>IF(T193="","",INDEX('Critérios e pesos'!$F$29:$F$32,MATCH(T193,'Critérios e pesos'!$A$29:$A$32,0)))</f>
        <v/>
      </c>
      <c r="W193" s="15">
        <f>IF(OR(AH193="",AJ193=""),"",IF(AI193+AJ193*60&lt;=ROUND('Critérios e pesos'!$C$37*1440,0),INT(AH193)+(AI193+AJ193*60)/1440,WORKDAY(INT(AH193),1+INT((AI193+AJ193*60-ROUND('Critérios e pesos'!$C$37*1440,0)-1)/(ROUND('Critérios e pesos'!$C$37*1440,0)-ROUND('Critérios e pesos'!$C$36*1440,0))))+(ROUND('Critérios e pesos'!$C$36*1440,0)+AI193+AJ193*60-ROUND('Critérios e pesos'!$C$37*1440,0)-INT((AI193+AJ193*60-ROUND('Critérios e pesos'!$C$37*1440,0)-1)/(ROUND('Critérios e pesos'!$C$37*1440,0)-ROUND('Critérios e pesos'!$C$36*1440,0)))*(ROUND('Critérios e pesos'!$C$37*1440,0)-ROUND('Critérios e pesos'!$C$36*1440,0)))/1440))</f>
        <v/>
      </c>
      <c r="X193" s="16" t="n"/>
      <c r="Y193" s="14">
        <f>IF(W193="","",IF(X193="",IF(NOW()&gt;W193,"Atrasado","Em espera"),IF(X193&lt;=W193,"No prazo","Atrasado")))</f>
        <v/>
      </c>
      <c r="Z193" s="17" t="n"/>
      <c r="AA193" s="14">
        <f>IF($B193="","",IF(OR(T193="X",AD193&lt;&gt;""),0,MAX(0,MIN(Q193,'Critérios e pesos'!$C$38*INT((TODAY()-IF(Z193&lt;&gt;"",Z193,INT($A193)))/7)))))</f>
        <v/>
      </c>
      <c r="AB193" s="14">
        <f>IF($B193="","",MAX(0,S193-AA193))</f>
        <v/>
      </c>
      <c r="AC193" s="9">
        <f>IF($B193="","",IF(T193="X","X",IF(AB193&gt;='Critérios e pesos'!$C$29,"A",IF(AB193&gt;='Critérios e pesos'!$C$30,"B","C"))))</f>
        <v/>
      </c>
      <c r="AD193" s="4" t="n"/>
      <c r="AE193" s="18" t="n"/>
      <c r="AF193" s="6" t="n"/>
      <c r="AH193">
        <f>IF($A193="","",IF(OR(WEEKDAY($A193,2)&gt;5,ROUND(MOD($A193,1)*1440,0)&gt;=ROUND('Critérios e pesos'!$C$37*1440,0)),WORKDAY(INT($A193),1)+ROUND('Critérios e pesos'!$C$36*1440,0)/1440,IF(ROUND(MOD($A193,1)*1440,0)&lt;ROUND('Critérios e pesos'!$C$36*1440,0),INT($A193)+ROUND('Critérios e pesos'!$C$36*1440,0)/1440,$A193)))</f>
        <v/>
      </c>
      <c r="AI193">
        <f>IF(AH193="","",ROUND(MOD(AH193,1)*1440,0))</f>
        <v/>
      </c>
      <c r="AJ193">
        <f>IF(T193="","",INDEX('Critérios e pesos'!$E$29:$E$32,MATCH(T193,'Critérios e pesos'!$A$29:$A$32,0)))</f>
        <v/>
      </c>
    </row>
    <row r="194">
      <c r="A194" s="13" t="n"/>
      <c r="B194" s="6" t="n"/>
      <c r="C194" s="6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6" t="n"/>
      <c r="O194" s="6" t="n"/>
      <c r="P194" s="14">
        <f>IF($B194="","",(E194="Claro")*'Critérios e pesos'!$G$5+(E194="Em parte")*'Critérios e pesos'!$G$5/2+(F194="Claro")*'Critérios e pesos'!$G$6+(F194="Em parte")*'Critérios e pesos'!$G$6/2+(G194="Claro")*'Critérios e pesos'!$G$7+(G194="Em parte")*'Critérios e pesos'!$G$7/2+(H194="Claro")*'Critérios e pesos'!$G$8+(H194="Em parte")*'Critérios e pesos'!$G$8/2)</f>
        <v/>
      </c>
      <c r="Q194" s="14">
        <f>IF($B194="","",(I194="Claro")*'Critérios e pesos'!$G$9+(I194="Em parte")*'Critérios e pesos'!$G$9/2+(J194="Claro")*'Critérios e pesos'!$G$10+(J194="Em parte")*'Critérios e pesos'!$G$10/2+(K194="Claro")*'Critérios e pesos'!$G$11+(K194="Em parte")*'Critérios e pesos'!$G$11/2+(L194="Claro")*'Critérios e pesos'!$G$12+(L194="Em parte")*'Critérios e pesos'!$G$12/2+(M194="Claro")*'Critérios e pesos'!$G$13+(M194="Em parte")*'Critérios e pesos'!$G$13/2)</f>
        <v/>
      </c>
      <c r="R194" s="14">
        <f>IF($B194="","",IFERROR(VLOOKUP(N194,'Critérios e pesos'!$B$17:$C$20,2,FALSE),0))</f>
        <v/>
      </c>
      <c r="S194" s="9">
        <f>IF($B194="","",MAX(0,P194+Q194+R194))</f>
        <v/>
      </c>
      <c r="T194" s="9">
        <f>IF($B194="","",IF(O194&lt;&gt;"","X",IF(S194&gt;='Critérios e pesos'!$C$29,"A",IF(S194&gt;='Critérios e pesos'!$C$30,"B","C"))))</f>
        <v/>
      </c>
      <c r="U194" s="14">
        <f>IF(T194="","",INDEX('Critérios e pesos'!$D$29:$D$32,MATCH(T194,'Critérios e pesos'!$A$29:$A$32,0)))</f>
        <v/>
      </c>
      <c r="V194" s="14">
        <f>IF(T194="","",INDEX('Critérios e pesos'!$F$29:$F$32,MATCH(T194,'Critérios e pesos'!$A$29:$A$32,0)))</f>
        <v/>
      </c>
      <c r="W194" s="15">
        <f>IF(OR(AH194="",AJ194=""),"",IF(AI194+AJ194*60&lt;=ROUND('Critérios e pesos'!$C$37*1440,0),INT(AH194)+(AI194+AJ194*60)/1440,WORKDAY(INT(AH194),1+INT((AI194+AJ194*60-ROUND('Critérios e pesos'!$C$37*1440,0)-1)/(ROUND('Critérios e pesos'!$C$37*1440,0)-ROUND('Critérios e pesos'!$C$36*1440,0))))+(ROUND('Critérios e pesos'!$C$36*1440,0)+AI194+AJ194*60-ROUND('Critérios e pesos'!$C$37*1440,0)-INT((AI194+AJ194*60-ROUND('Critérios e pesos'!$C$37*1440,0)-1)/(ROUND('Critérios e pesos'!$C$37*1440,0)-ROUND('Critérios e pesos'!$C$36*1440,0)))*(ROUND('Critérios e pesos'!$C$37*1440,0)-ROUND('Critérios e pesos'!$C$36*1440,0)))/1440))</f>
        <v/>
      </c>
      <c r="X194" s="16" t="n"/>
      <c r="Y194" s="14">
        <f>IF(W194="","",IF(X194="",IF(NOW()&gt;W194,"Atrasado","Em espera"),IF(X194&lt;=W194,"No prazo","Atrasado")))</f>
        <v/>
      </c>
      <c r="Z194" s="17" t="n"/>
      <c r="AA194" s="14">
        <f>IF($B194="","",IF(OR(T194="X",AD194&lt;&gt;""),0,MAX(0,MIN(Q194,'Critérios e pesos'!$C$38*INT((TODAY()-IF(Z194&lt;&gt;"",Z194,INT($A194)))/7)))))</f>
        <v/>
      </c>
      <c r="AB194" s="14">
        <f>IF($B194="","",MAX(0,S194-AA194))</f>
        <v/>
      </c>
      <c r="AC194" s="9">
        <f>IF($B194="","",IF(T194="X","X",IF(AB194&gt;='Critérios e pesos'!$C$29,"A",IF(AB194&gt;='Critérios e pesos'!$C$30,"B","C"))))</f>
        <v/>
      </c>
      <c r="AD194" s="4" t="n"/>
      <c r="AE194" s="18" t="n"/>
      <c r="AF194" s="6" t="n"/>
      <c r="AH194">
        <f>IF($A194="","",IF(OR(WEEKDAY($A194,2)&gt;5,ROUND(MOD($A194,1)*1440,0)&gt;=ROUND('Critérios e pesos'!$C$37*1440,0)),WORKDAY(INT($A194),1)+ROUND('Critérios e pesos'!$C$36*1440,0)/1440,IF(ROUND(MOD($A194,1)*1440,0)&lt;ROUND('Critérios e pesos'!$C$36*1440,0),INT($A194)+ROUND('Critérios e pesos'!$C$36*1440,0)/1440,$A194)))</f>
        <v/>
      </c>
      <c r="AI194">
        <f>IF(AH194="","",ROUND(MOD(AH194,1)*1440,0))</f>
        <v/>
      </c>
      <c r="AJ194">
        <f>IF(T194="","",INDEX('Critérios e pesos'!$E$29:$E$32,MATCH(T194,'Critérios e pesos'!$A$29:$A$32,0)))</f>
        <v/>
      </c>
    </row>
    <row r="195">
      <c r="A195" s="13" t="n"/>
      <c r="B195" s="6" t="n"/>
      <c r="C195" s="6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6" t="n"/>
      <c r="O195" s="6" t="n"/>
      <c r="P195" s="14">
        <f>IF($B195="","",(E195="Claro")*'Critérios e pesos'!$G$5+(E195="Em parte")*'Critérios e pesos'!$G$5/2+(F195="Claro")*'Critérios e pesos'!$G$6+(F195="Em parte")*'Critérios e pesos'!$G$6/2+(G195="Claro")*'Critérios e pesos'!$G$7+(G195="Em parte")*'Critérios e pesos'!$G$7/2+(H195="Claro")*'Critérios e pesos'!$G$8+(H195="Em parte")*'Critérios e pesos'!$G$8/2)</f>
        <v/>
      </c>
      <c r="Q195" s="14">
        <f>IF($B195="","",(I195="Claro")*'Critérios e pesos'!$G$9+(I195="Em parte")*'Critérios e pesos'!$G$9/2+(J195="Claro")*'Critérios e pesos'!$G$10+(J195="Em parte")*'Critérios e pesos'!$G$10/2+(K195="Claro")*'Critérios e pesos'!$G$11+(K195="Em parte")*'Critérios e pesos'!$G$11/2+(L195="Claro")*'Critérios e pesos'!$G$12+(L195="Em parte")*'Critérios e pesos'!$G$12/2+(M195="Claro")*'Critérios e pesos'!$G$13+(M195="Em parte")*'Critérios e pesos'!$G$13/2)</f>
        <v/>
      </c>
      <c r="R195" s="14">
        <f>IF($B195="","",IFERROR(VLOOKUP(N195,'Critérios e pesos'!$B$17:$C$20,2,FALSE),0))</f>
        <v/>
      </c>
      <c r="S195" s="9">
        <f>IF($B195="","",MAX(0,P195+Q195+R195))</f>
        <v/>
      </c>
      <c r="T195" s="9">
        <f>IF($B195="","",IF(O195&lt;&gt;"","X",IF(S195&gt;='Critérios e pesos'!$C$29,"A",IF(S195&gt;='Critérios e pesos'!$C$30,"B","C"))))</f>
        <v/>
      </c>
      <c r="U195" s="14">
        <f>IF(T195="","",INDEX('Critérios e pesos'!$D$29:$D$32,MATCH(T195,'Critérios e pesos'!$A$29:$A$32,0)))</f>
        <v/>
      </c>
      <c r="V195" s="14">
        <f>IF(T195="","",INDEX('Critérios e pesos'!$F$29:$F$32,MATCH(T195,'Critérios e pesos'!$A$29:$A$32,0)))</f>
        <v/>
      </c>
      <c r="W195" s="15">
        <f>IF(OR(AH195="",AJ195=""),"",IF(AI195+AJ195*60&lt;=ROUND('Critérios e pesos'!$C$37*1440,0),INT(AH195)+(AI195+AJ195*60)/1440,WORKDAY(INT(AH195),1+INT((AI195+AJ195*60-ROUND('Critérios e pesos'!$C$37*1440,0)-1)/(ROUND('Critérios e pesos'!$C$37*1440,0)-ROUND('Critérios e pesos'!$C$36*1440,0))))+(ROUND('Critérios e pesos'!$C$36*1440,0)+AI195+AJ195*60-ROUND('Critérios e pesos'!$C$37*1440,0)-INT((AI195+AJ195*60-ROUND('Critérios e pesos'!$C$37*1440,0)-1)/(ROUND('Critérios e pesos'!$C$37*1440,0)-ROUND('Critérios e pesos'!$C$36*1440,0)))*(ROUND('Critérios e pesos'!$C$37*1440,0)-ROUND('Critérios e pesos'!$C$36*1440,0)))/1440))</f>
        <v/>
      </c>
      <c r="X195" s="16" t="n"/>
      <c r="Y195" s="14">
        <f>IF(W195="","",IF(X195="",IF(NOW()&gt;W195,"Atrasado","Em espera"),IF(X195&lt;=W195,"No prazo","Atrasado")))</f>
        <v/>
      </c>
      <c r="Z195" s="17" t="n"/>
      <c r="AA195" s="14">
        <f>IF($B195="","",IF(OR(T195="X",AD195&lt;&gt;""),0,MAX(0,MIN(Q195,'Critérios e pesos'!$C$38*INT((TODAY()-IF(Z195&lt;&gt;"",Z195,INT($A195)))/7)))))</f>
        <v/>
      </c>
      <c r="AB195" s="14">
        <f>IF($B195="","",MAX(0,S195-AA195))</f>
        <v/>
      </c>
      <c r="AC195" s="9">
        <f>IF($B195="","",IF(T195="X","X",IF(AB195&gt;='Critérios e pesos'!$C$29,"A",IF(AB195&gt;='Critérios e pesos'!$C$30,"B","C"))))</f>
        <v/>
      </c>
      <c r="AD195" s="4" t="n"/>
      <c r="AE195" s="18" t="n"/>
      <c r="AF195" s="6" t="n"/>
      <c r="AH195">
        <f>IF($A195="","",IF(OR(WEEKDAY($A195,2)&gt;5,ROUND(MOD($A195,1)*1440,0)&gt;=ROUND('Critérios e pesos'!$C$37*1440,0)),WORKDAY(INT($A195),1)+ROUND('Critérios e pesos'!$C$36*1440,0)/1440,IF(ROUND(MOD($A195,1)*1440,0)&lt;ROUND('Critérios e pesos'!$C$36*1440,0),INT($A195)+ROUND('Critérios e pesos'!$C$36*1440,0)/1440,$A195)))</f>
        <v/>
      </c>
      <c r="AI195">
        <f>IF(AH195="","",ROUND(MOD(AH195,1)*1440,0))</f>
        <v/>
      </c>
      <c r="AJ195">
        <f>IF(T195="","",INDEX('Critérios e pesos'!$E$29:$E$32,MATCH(T195,'Critérios e pesos'!$A$29:$A$32,0)))</f>
        <v/>
      </c>
    </row>
    <row r="196">
      <c r="A196" s="13" t="n"/>
      <c r="B196" s="6" t="n"/>
      <c r="C196" s="6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6" t="n"/>
      <c r="O196" s="6" t="n"/>
      <c r="P196" s="14">
        <f>IF($B196="","",(E196="Claro")*'Critérios e pesos'!$G$5+(E196="Em parte")*'Critérios e pesos'!$G$5/2+(F196="Claro")*'Critérios e pesos'!$G$6+(F196="Em parte")*'Critérios e pesos'!$G$6/2+(G196="Claro")*'Critérios e pesos'!$G$7+(G196="Em parte")*'Critérios e pesos'!$G$7/2+(H196="Claro")*'Critérios e pesos'!$G$8+(H196="Em parte")*'Critérios e pesos'!$G$8/2)</f>
        <v/>
      </c>
      <c r="Q196" s="14">
        <f>IF($B196="","",(I196="Claro")*'Critérios e pesos'!$G$9+(I196="Em parte")*'Critérios e pesos'!$G$9/2+(J196="Claro")*'Critérios e pesos'!$G$10+(J196="Em parte")*'Critérios e pesos'!$G$10/2+(K196="Claro")*'Critérios e pesos'!$G$11+(K196="Em parte")*'Critérios e pesos'!$G$11/2+(L196="Claro")*'Critérios e pesos'!$G$12+(L196="Em parte")*'Critérios e pesos'!$G$12/2+(M196="Claro")*'Critérios e pesos'!$G$13+(M196="Em parte")*'Critérios e pesos'!$G$13/2)</f>
        <v/>
      </c>
      <c r="R196" s="14">
        <f>IF($B196="","",IFERROR(VLOOKUP(N196,'Critérios e pesos'!$B$17:$C$20,2,FALSE),0))</f>
        <v/>
      </c>
      <c r="S196" s="9">
        <f>IF($B196="","",MAX(0,P196+Q196+R196))</f>
        <v/>
      </c>
      <c r="T196" s="9">
        <f>IF($B196="","",IF(O196&lt;&gt;"","X",IF(S196&gt;='Critérios e pesos'!$C$29,"A",IF(S196&gt;='Critérios e pesos'!$C$30,"B","C"))))</f>
        <v/>
      </c>
      <c r="U196" s="14">
        <f>IF(T196="","",INDEX('Critérios e pesos'!$D$29:$D$32,MATCH(T196,'Critérios e pesos'!$A$29:$A$32,0)))</f>
        <v/>
      </c>
      <c r="V196" s="14">
        <f>IF(T196="","",INDEX('Critérios e pesos'!$F$29:$F$32,MATCH(T196,'Critérios e pesos'!$A$29:$A$32,0)))</f>
        <v/>
      </c>
      <c r="W196" s="15">
        <f>IF(OR(AH196="",AJ196=""),"",IF(AI196+AJ196*60&lt;=ROUND('Critérios e pesos'!$C$37*1440,0),INT(AH196)+(AI196+AJ196*60)/1440,WORKDAY(INT(AH196),1+INT((AI196+AJ196*60-ROUND('Critérios e pesos'!$C$37*1440,0)-1)/(ROUND('Critérios e pesos'!$C$37*1440,0)-ROUND('Critérios e pesos'!$C$36*1440,0))))+(ROUND('Critérios e pesos'!$C$36*1440,0)+AI196+AJ196*60-ROUND('Critérios e pesos'!$C$37*1440,0)-INT((AI196+AJ196*60-ROUND('Critérios e pesos'!$C$37*1440,0)-1)/(ROUND('Critérios e pesos'!$C$37*1440,0)-ROUND('Critérios e pesos'!$C$36*1440,0)))*(ROUND('Critérios e pesos'!$C$37*1440,0)-ROUND('Critérios e pesos'!$C$36*1440,0)))/1440))</f>
        <v/>
      </c>
      <c r="X196" s="16" t="n"/>
      <c r="Y196" s="14">
        <f>IF(W196="","",IF(X196="",IF(NOW()&gt;W196,"Atrasado","Em espera"),IF(X196&lt;=W196,"No prazo","Atrasado")))</f>
        <v/>
      </c>
      <c r="Z196" s="17" t="n"/>
      <c r="AA196" s="14">
        <f>IF($B196="","",IF(OR(T196="X",AD196&lt;&gt;""),0,MAX(0,MIN(Q196,'Critérios e pesos'!$C$38*INT((TODAY()-IF(Z196&lt;&gt;"",Z196,INT($A196)))/7)))))</f>
        <v/>
      </c>
      <c r="AB196" s="14">
        <f>IF($B196="","",MAX(0,S196-AA196))</f>
        <v/>
      </c>
      <c r="AC196" s="9">
        <f>IF($B196="","",IF(T196="X","X",IF(AB196&gt;='Critérios e pesos'!$C$29,"A",IF(AB196&gt;='Critérios e pesos'!$C$30,"B","C"))))</f>
        <v/>
      </c>
      <c r="AD196" s="4" t="n"/>
      <c r="AE196" s="18" t="n"/>
      <c r="AF196" s="6" t="n"/>
      <c r="AH196">
        <f>IF($A196="","",IF(OR(WEEKDAY($A196,2)&gt;5,ROUND(MOD($A196,1)*1440,0)&gt;=ROUND('Critérios e pesos'!$C$37*1440,0)),WORKDAY(INT($A196),1)+ROUND('Critérios e pesos'!$C$36*1440,0)/1440,IF(ROUND(MOD($A196,1)*1440,0)&lt;ROUND('Critérios e pesos'!$C$36*1440,0),INT($A196)+ROUND('Critérios e pesos'!$C$36*1440,0)/1440,$A196)))</f>
        <v/>
      </c>
      <c r="AI196">
        <f>IF(AH196="","",ROUND(MOD(AH196,1)*1440,0))</f>
        <v/>
      </c>
      <c r="AJ196">
        <f>IF(T196="","",INDEX('Critérios e pesos'!$E$29:$E$32,MATCH(T196,'Critérios e pesos'!$A$29:$A$32,0)))</f>
        <v/>
      </c>
    </row>
    <row r="197">
      <c r="A197" s="13" t="n"/>
      <c r="B197" s="6" t="n"/>
      <c r="C197" s="6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6" t="n"/>
      <c r="O197" s="6" t="n"/>
      <c r="P197" s="14">
        <f>IF($B197="","",(E197="Claro")*'Critérios e pesos'!$G$5+(E197="Em parte")*'Critérios e pesos'!$G$5/2+(F197="Claro")*'Critérios e pesos'!$G$6+(F197="Em parte")*'Critérios e pesos'!$G$6/2+(G197="Claro")*'Critérios e pesos'!$G$7+(G197="Em parte")*'Critérios e pesos'!$G$7/2+(H197="Claro")*'Critérios e pesos'!$G$8+(H197="Em parte")*'Critérios e pesos'!$G$8/2)</f>
        <v/>
      </c>
      <c r="Q197" s="14">
        <f>IF($B197="","",(I197="Claro")*'Critérios e pesos'!$G$9+(I197="Em parte")*'Critérios e pesos'!$G$9/2+(J197="Claro")*'Critérios e pesos'!$G$10+(J197="Em parte")*'Critérios e pesos'!$G$10/2+(K197="Claro")*'Critérios e pesos'!$G$11+(K197="Em parte")*'Critérios e pesos'!$G$11/2+(L197="Claro")*'Critérios e pesos'!$G$12+(L197="Em parte")*'Critérios e pesos'!$G$12/2+(M197="Claro")*'Critérios e pesos'!$G$13+(M197="Em parte")*'Critérios e pesos'!$G$13/2)</f>
        <v/>
      </c>
      <c r="R197" s="14">
        <f>IF($B197="","",IFERROR(VLOOKUP(N197,'Critérios e pesos'!$B$17:$C$20,2,FALSE),0))</f>
        <v/>
      </c>
      <c r="S197" s="9">
        <f>IF($B197="","",MAX(0,P197+Q197+R197))</f>
        <v/>
      </c>
      <c r="T197" s="9">
        <f>IF($B197="","",IF(O197&lt;&gt;"","X",IF(S197&gt;='Critérios e pesos'!$C$29,"A",IF(S197&gt;='Critérios e pesos'!$C$30,"B","C"))))</f>
        <v/>
      </c>
      <c r="U197" s="14">
        <f>IF(T197="","",INDEX('Critérios e pesos'!$D$29:$D$32,MATCH(T197,'Critérios e pesos'!$A$29:$A$32,0)))</f>
        <v/>
      </c>
      <c r="V197" s="14">
        <f>IF(T197="","",INDEX('Critérios e pesos'!$F$29:$F$32,MATCH(T197,'Critérios e pesos'!$A$29:$A$32,0)))</f>
        <v/>
      </c>
      <c r="W197" s="15">
        <f>IF(OR(AH197="",AJ197=""),"",IF(AI197+AJ197*60&lt;=ROUND('Critérios e pesos'!$C$37*1440,0),INT(AH197)+(AI197+AJ197*60)/1440,WORKDAY(INT(AH197),1+INT((AI197+AJ197*60-ROUND('Critérios e pesos'!$C$37*1440,0)-1)/(ROUND('Critérios e pesos'!$C$37*1440,0)-ROUND('Critérios e pesos'!$C$36*1440,0))))+(ROUND('Critérios e pesos'!$C$36*1440,0)+AI197+AJ197*60-ROUND('Critérios e pesos'!$C$37*1440,0)-INT((AI197+AJ197*60-ROUND('Critérios e pesos'!$C$37*1440,0)-1)/(ROUND('Critérios e pesos'!$C$37*1440,0)-ROUND('Critérios e pesos'!$C$36*1440,0)))*(ROUND('Critérios e pesos'!$C$37*1440,0)-ROUND('Critérios e pesos'!$C$36*1440,0)))/1440))</f>
        <v/>
      </c>
      <c r="X197" s="16" t="n"/>
      <c r="Y197" s="14">
        <f>IF(W197="","",IF(X197="",IF(NOW()&gt;W197,"Atrasado","Em espera"),IF(X197&lt;=W197,"No prazo","Atrasado")))</f>
        <v/>
      </c>
      <c r="Z197" s="17" t="n"/>
      <c r="AA197" s="14">
        <f>IF($B197="","",IF(OR(T197="X",AD197&lt;&gt;""),0,MAX(0,MIN(Q197,'Critérios e pesos'!$C$38*INT((TODAY()-IF(Z197&lt;&gt;"",Z197,INT($A197)))/7)))))</f>
        <v/>
      </c>
      <c r="AB197" s="14">
        <f>IF($B197="","",MAX(0,S197-AA197))</f>
        <v/>
      </c>
      <c r="AC197" s="9">
        <f>IF($B197="","",IF(T197="X","X",IF(AB197&gt;='Critérios e pesos'!$C$29,"A",IF(AB197&gt;='Critérios e pesos'!$C$30,"B","C"))))</f>
        <v/>
      </c>
      <c r="AD197" s="4" t="n"/>
      <c r="AE197" s="18" t="n"/>
      <c r="AF197" s="6" t="n"/>
      <c r="AH197">
        <f>IF($A197="","",IF(OR(WEEKDAY($A197,2)&gt;5,ROUND(MOD($A197,1)*1440,0)&gt;=ROUND('Critérios e pesos'!$C$37*1440,0)),WORKDAY(INT($A197),1)+ROUND('Critérios e pesos'!$C$36*1440,0)/1440,IF(ROUND(MOD($A197,1)*1440,0)&lt;ROUND('Critérios e pesos'!$C$36*1440,0),INT($A197)+ROUND('Critérios e pesos'!$C$36*1440,0)/1440,$A197)))</f>
        <v/>
      </c>
      <c r="AI197">
        <f>IF(AH197="","",ROUND(MOD(AH197,1)*1440,0))</f>
        <v/>
      </c>
      <c r="AJ197">
        <f>IF(T197="","",INDEX('Critérios e pesos'!$E$29:$E$32,MATCH(T197,'Critérios e pesos'!$A$29:$A$32,0)))</f>
        <v/>
      </c>
    </row>
    <row r="198">
      <c r="A198" s="13" t="n"/>
      <c r="B198" s="6" t="n"/>
      <c r="C198" s="6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6" t="n"/>
      <c r="O198" s="6" t="n"/>
      <c r="P198" s="14">
        <f>IF($B198="","",(E198="Claro")*'Critérios e pesos'!$G$5+(E198="Em parte")*'Critérios e pesos'!$G$5/2+(F198="Claro")*'Critérios e pesos'!$G$6+(F198="Em parte")*'Critérios e pesos'!$G$6/2+(G198="Claro")*'Critérios e pesos'!$G$7+(G198="Em parte")*'Critérios e pesos'!$G$7/2+(H198="Claro")*'Critérios e pesos'!$G$8+(H198="Em parte")*'Critérios e pesos'!$G$8/2)</f>
        <v/>
      </c>
      <c r="Q198" s="14">
        <f>IF($B198="","",(I198="Claro")*'Critérios e pesos'!$G$9+(I198="Em parte")*'Critérios e pesos'!$G$9/2+(J198="Claro")*'Critérios e pesos'!$G$10+(J198="Em parte")*'Critérios e pesos'!$G$10/2+(K198="Claro")*'Critérios e pesos'!$G$11+(K198="Em parte")*'Critérios e pesos'!$G$11/2+(L198="Claro")*'Critérios e pesos'!$G$12+(L198="Em parte")*'Critérios e pesos'!$G$12/2+(M198="Claro")*'Critérios e pesos'!$G$13+(M198="Em parte")*'Critérios e pesos'!$G$13/2)</f>
        <v/>
      </c>
      <c r="R198" s="14">
        <f>IF($B198="","",IFERROR(VLOOKUP(N198,'Critérios e pesos'!$B$17:$C$20,2,FALSE),0))</f>
        <v/>
      </c>
      <c r="S198" s="9">
        <f>IF($B198="","",MAX(0,P198+Q198+R198))</f>
        <v/>
      </c>
      <c r="T198" s="9">
        <f>IF($B198="","",IF(O198&lt;&gt;"","X",IF(S198&gt;='Critérios e pesos'!$C$29,"A",IF(S198&gt;='Critérios e pesos'!$C$30,"B","C"))))</f>
        <v/>
      </c>
      <c r="U198" s="14">
        <f>IF(T198="","",INDEX('Critérios e pesos'!$D$29:$D$32,MATCH(T198,'Critérios e pesos'!$A$29:$A$32,0)))</f>
        <v/>
      </c>
      <c r="V198" s="14">
        <f>IF(T198="","",INDEX('Critérios e pesos'!$F$29:$F$32,MATCH(T198,'Critérios e pesos'!$A$29:$A$32,0)))</f>
        <v/>
      </c>
      <c r="W198" s="15">
        <f>IF(OR(AH198="",AJ198=""),"",IF(AI198+AJ198*60&lt;=ROUND('Critérios e pesos'!$C$37*1440,0),INT(AH198)+(AI198+AJ198*60)/1440,WORKDAY(INT(AH198),1+INT((AI198+AJ198*60-ROUND('Critérios e pesos'!$C$37*1440,0)-1)/(ROUND('Critérios e pesos'!$C$37*1440,0)-ROUND('Critérios e pesos'!$C$36*1440,0))))+(ROUND('Critérios e pesos'!$C$36*1440,0)+AI198+AJ198*60-ROUND('Critérios e pesos'!$C$37*1440,0)-INT((AI198+AJ198*60-ROUND('Critérios e pesos'!$C$37*1440,0)-1)/(ROUND('Critérios e pesos'!$C$37*1440,0)-ROUND('Critérios e pesos'!$C$36*1440,0)))*(ROUND('Critérios e pesos'!$C$37*1440,0)-ROUND('Critérios e pesos'!$C$36*1440,0)))/1440))</f>
        <v/>
      </c>
      <c r="X198" s="16" t="n"/>
      <c r="Y198" s="14">
        <f>IF(W198="","",IF(X198="",IF(NOW()&gt;W198,"Atrasado","Em espera"),IF(X198&lt;=W198,"No prazo","Atrasado")))</f>
        <v/>
      </c>
      <c r="Z198" s="17" t="n"/>
      <c r="AA198" s="14">
        <f>IF($B198="","",IF(OR(T198="X",AD198&lt;&gt;""),0,MAX(0,MIN(Q198,'Critérios e pesos'!$C$38*INT((TODAY()-IF(Z198&lt;&gt;"",Z198,INT($A198)))/7)))))</f>
        <v/>
      </c>
      <c r="AB198" s="14">
        <f>IF($B198="","",MAX(0,S198-AA198))</f>
        <v/>
      </c>
      <c r="AC198" s="9">
        <f>IF($B198="","",IF(T198="X","X",IF(AB198&gt;='Critérios e pesos'!$C$29,"A",IF(AB198&gt;='Critérios e pesos'!$C$30,"B","C"))))</f>
        <v/>
      </c>
      <c r="AD198" s="4" t="n"/>
      <c r="AE198" s="18" t="n"/>
      <c r="AF198" s="6" t="n"/>
      <c r="AH198">
        <f>IF($A198="","",IF(OR(WEEKDAY($A198,2)&gt;5,ROUND(MOD($A198,1)*1440,0)&gt;=ROUND('Critérios e pesos'!$C$37*1440,0)),WORKDAY(INT($A198),1)+ROUND('Critérios e pesos'!$C$36*1440,0)/1440,IF(ROUND(MOD($A198,1)*1440,0)&lt;ROUND('Critérios e pesos'!$C$36*1440,0),INT($A198)+ROUND('Critérios e pesos'!$C$36*1440,0)/1440,$A198)))</f>
        <v/>
      </c>
      <c r="AI198">
        <f>IF(AH198="","",ROUND(MOD(AH198,1)*1440,0))</f>
        <v/>
      </c>
      <c r="AJ198">
        <f>IF(T198="","",INDEX('Critérios e pesos'!$E$29:$E$32,MATCH(T198,'Critérios e pesos'!$A$29:$A$32,0)))</f>
        <v/>
      </c>
    </row>
    <row r="199">
      <c r="A199" s="13" t="n"/>
      <c r="B199" s="6" t="n"/>
      <c r="C199" s="6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6" t="n"/>
      <c r="O199" s="6" t="n"/>
      <c r="P199" s="14">
        <f>IF($B199="","",(E199="Claro")*'Critérios e pesos'!$G$5+(E199="Em parte")*'Critérios e pesos'!$G$5/2+(F199="Claro")*'Critérios e pesos'!$G$6+(F199="Em parte")*'Critérios e pesos'!$G$6/2+(G199="Claro")*'Critérios e pesos'!$G$7+(G199="Em parte")*'Critérios e pesos'!$G$7/2+(H199="Claro")*'Critérios e pesos'!$G$8+(H199="Em parte")*'Critérios e pesos'!$G$8/2)</f>
        <v/>
      </c>
      <c r="Q199" s="14">
        <f>IF($B199="","",(I199="Claro")*'Critérios e pesos'!$G$9+(I199="Em parte")*'Critérios e pesos'!$G$9/2+(J199="Claro")*'Critérios e pesos'!$G$10+(J199="Em parte")*'Critérios e pesos'!$G$10/2+(K199="Claro")*'Critérios e pesos'!$G$11+(K199="Em parte")*'Critérios e pesos'!$G$11/2+(L199="Claro")*'Critérios e pesos'!$G$12+(L199="Em parte")*'Critérios e pesos'!$G$12/2+(M199="Claro")*'Critérios e pesos'!$G$13+(M199="Em parte")*'Critérios e pesos'!$G$13/2)</f>
        <v/>
      </c>
      <c r="R199" s="14">
        <f>IF($B199="","",IFERROR(VLOOKUP(N199,'Critérios e pesos'!$B$17:$C$20,2,FALSE),0))</f>
        <v/>
      </c>
      <c r="S199" s="9">
        <f>IF($B199="","",MAX(0,P199+Q199+R199))</f>
        <v/>
      </c>
      <c r="T199" s="9">
        <f>IF($B199="","",IF(O199&lt;&gt;"","X",IF(S199&gt;='Critérios e pesos'!$C$29,"A",IF(S199&gt;='Critérios e pesos'!$C$30,"B","C"))))</f>
        <v/>
      </c>
      <c r="U199" s="14">
        <f>IF(T199="","",INDEX('Critérios e pesos'!$D$29:$D$32,MATCH(T199,'Critérios e pesos'!$A$29:$A$32,0)))</f>
        <v/>
      </c>
      <c r="V199" s="14">
        <f>IF(T199="","",INDEX('Critérios e pesos'!$F$29:$F$32,MATCH(T199,'Critérios e pesos'!$A$29:$A$32,0)))</f>
        <v/>
      </c>
      <c r="W199" s="15">
        <f>IF(OR(AH199="",AJ199=""),"",IF(AI199+AJ199*60&lt;=ROUND('Critérios e pesos'!$C$37*1440,0),INT(AH199)+(AI199+AJ199*60)/1440,WORKDAY(INT(AH199),1+INT((AI199+AJ199*60-ROUND('Critérios e pesos'!$C$37*1440,0)-1)/(ROUND('Critérios e pesos'!$C$37*1440,0)-ROUND('Critérios e pesos'!$C$36*1440,0))))+(ROUND('Critérios e pesos'!$C$36*1440,0)+AI199+AJ199*60-ROUND('Critérios e pesos'!$C$37*1440,0)-INT((AI199+AJ199*60-ROUND('Critérios e pesos'!$C$37*1440,0)-1)/(ROUND('Critérios e pesos'!$C$37*1440,0)-ROUND('Critérios e pesos'!$C$36*1440,0)))*(ROUND('Critérios e pesos'!$C$37*1440,0)-ROUND('Critérios e pesos'!$C$36*1440,0)))/1440))</f>
        <v/>
      </c>
      <c r="X199" s="16" t="n"/>
      <c r="Y199" s="14">
        <f>IF(W199="","",IF(X199="",IF(NOW()&gt;W199,"Atrasado","Em espera"),IF(X199&lt;=W199,"No prazo","Atrasado")))</f>
        <v/>
      </c>
      <c r="Z199" s="17" t="n"/>
      <c r="AA199" s="14">
        <f>IF($B199="","",IF(OR(T199="X",AD199&lt;&gt;""),0,MAX(0,MIN(Q199,'Critérios e pesos'!$C$38*INT((TODAY()-IF(Z199&lt;&gt;"",Z199,INT($A199)))/7)))))</f>
        <v/>
      </c>
      <c r="AB199" s="14">
        <f>IF($B199="","",MAX(0,S199-AA199))</f>
        <v/>
      </c>
      <c r="AC199" s="9">
        <f>IF($B199="","",IF(T199="X","X",IF(AB199&gt;='Critérios e pesos'!$C$29,"A",IF(AB199&gt;='Critérios e pesos'!$C$30,"B","C"))))</f>
        <v/>
      </c>
      <c r="AD199" s="4" t="n"/>
      <c r="AE199" s="18" t="n"/>
      <c r="AF199" s="6" t="n"/>
      <c r="AH199">
        <f>IF($A199="","",IF(OR(WEEKDAY($A199,2)&gt;5,ROUND(MOD($A199,1)*1440,0)&gt;=ROUND('Critérios e pesos'!$C$37*1440,0)),WORKDAY(INT($A199),1)+ROUND('Critérios e pesos'!$C$36*1440,0)/1440,IF(ROUND(MOD($A199,1)*1440,0)&lt;ROUND('Critérios e pesos'!$C$36*1440,0),INT($A199)+ROUND('Critérios e pesos'!$C$36*1440,0)/1440,$A199)))</f>
        <v/>
      </c>
      <c r="AI199">
        <f>IF(AH199="","",ROUND(MOD(AH199,1)*1440,0))</f>
        <v/>
      </c>
      <c r="AJ199">
        <f>IF(T199="","",INDEX('Critérios e pesos'!$E$29:$E$32,MATCH(T199,'Critérios e pesos'!$A$29:$A$32,0)))</f>
        <v/>
      </c>
    </row>
    <row r="200">
      <c r="A200" s="13" t="n"/>
      <c r="B200" s="6" t="n"/>
      <c r="C200" s="6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6" t="n"/>
      <c r="O200" s="6" t="n"/>
      <c r="P200" s="14">
        <f>IF($B200="","",(E200="Claro")*'Critérios e pesos'!$G$5+(E200="Em parte")*'Critérios e pesos'!$G$5/2+(F200="Claro")*'Critérios e pesos'!$G$6+(F200="Em parte")*'Critérios e pesos'!$G$6/2+(G200="Claro")*'Critérios e pesos'!$G$7+(G200="Em parte")*'Critérios e pesos'!$G$7/2+(H200="Claro")*'Critérios e pesos'!$G$8+(H200="Em parte")*'Critérios e pesos'!$G$8/2)</f>
        <v/>
      </c>
      <c r="Q200" s="14">
        <f>IF($B200="","",(I200="Claro")*'Critérios e pesos'!$G$9+(I200="Em parte")*'Critérios e pesos'!$G$9/2+(J200="Claro")*'Critérios e pesos'!$G$10+(J200="Em parte")*'Critérios e pesos'!$G$10/2+(K200="Claro")*'Critérios e pesos'!$G$11+(K200="Em parte")*'Critérios e pesos'!$G$11/2+(L200="Claro")*'Critérios e pesos'!$G$12+(L200="Em parte")*'Critérios e pesos'!$G$12/2+(M200="Claro")*'Critérios e pesos'!$G$13+(M200="Em parte")*'Critérios e pesos'!$G$13/2)</f>
        <v/>
      </c>
      <c r="R200" s="14">
        <f>IF($B200="","",IFERROR(VLOOKUP(N200,'Critérios e pesos'!$B$17:$C$20,2,FALSE),0))</f>
        <v/>
      </c>
      <c r="S200" s="9">
        <f>IF($B200="","",MAX(0,P200+Q200+R200))</f>
        <v/>
      </c>
      <c r="T200" s="9">
        <f>IF($B200="","",IF(O200&lt;&gt;"","X",IF(S200&gt;='Critérios e pesos'!$C$29,"A",IF(S200&gt;='Critérios e pesos'!$C$30,"B","C"))))</f>
        <v/>
      </c>
      <c r="U200" s="14">
        <f>IF(T200="","",INDEX('Critérios e pesos'!$D$29:$D$32,MATCH(T200,'Critérios e pesos'!$A$29:$A$32,0)))</f>
        <v/>
      </c>
      <c r="V200" s="14">
        <f>IF(T200="","",INDEX('Critérios e pesos'!$F$29:$F$32,MATCH(T200,'Critérios e pesos'!$A$29:$A$32,0)))</f>
        <v/>
      </c>
      <c r="W200" s="15">
        <f>IF(OR(AH200="",AJ200=""),"",IF(AI200+AJ200*60&lt;=ROUND('Critérios e pesos'!$C$37*1440,0),INT(AH200)+(AI200+AJ200*60)/1440,WORKDAY(INT(AH200),1+INT((AI200+AJ200*60-ROUND('Critérios e pesos'!$C$37*1440,0)-1)/(ROUND('Critérios e pesos'!$C$37*1440,0)-ROUND('Critérios e pesos'!$C$36*1440,0))))+(ROUND('Critérios e pesos'!$C$36*1440,0)+AI200+AJ200*60-ROUND('Critérios e pesos'!$C$37*1440,0)-INT((AI200+AJ200*60-ROUND('Critérios e pesos'!$C$37*1440,0)-1)/(ROUND('Critérios e pesos'!$C$37*1440,0)-ROUND('Critérios e pesos'!$C$36*1440,0)))*(ROUND('Critérios e pesos'!$C$37*1440,0)-ROUND('Critérios e pesos'!$C$36*1440,0)))/1440))</f>
        <v/>
      </c>
      <c r="X200" s="16" t="n"/>
      <c r="Y200" s="14">
        <f>IF(W200="","",IF(X200="",IF(NOW()&gt;W200,"Atrasado","Em espera"),IF(X200&lt;=W200,"No prazo","Atrasado")))</f>
        <v/>
      </c>
      <c r="Z200" s="17" t="n"/>
      <c r="AA200" s="14">
        <f>IF($B200="","",IF(OR(T200="X",AD200&lt;&gt;""),0,MAX(0,MIN(Q200,'Critérios e pesos'!$C$38*INT((TODAY()-IF(Z200&lt;&gt;"",Z200,INT($A200)))/7)))))</f>
        <v/>
      </c>
      <c r="AB200" s="14">
        <f>IF($B200="","",MAX(0,S200-AA200))</f>
        <v/>
      </c>
      <c r="AC200" s="9">
        <f>IF($B200="","",IF(T200="X","X",IF(AB200&gt;='Critérios e pesos'!$C$29,"A",IF(AB200&gt;='Critérios e pesos'!$C$30,"B","C"))))</f>
        <v/>
      </c>
      <c r="AD200" s="4" t="n"/>
      <c r="AE200" s="18" t="n"/>
      <c r="AF200" s="6" t="n"/>
      <c r="AH200">
        <f>IF($A200="","",IF(OR(WEEKDAY($A200,2)&gt;5,ROUND(MOD($A200,1)*1440,0)&gt;=ROUND('Critérios e pesos'!$C$37*1440,0)),WORKDAY(INT($A200),1)+ROUND('Critérios e pesos'!$C$36*1440,0)/1440,IF(ROUND(MOD($A200,1)*1440,0)&lt;ROUND('Critérios e pesos'!$C$36*1440,0),INT($A200)+ROUND('Critérios e pesos'!$C$36*1440,0)/1440,$A200)))</f>
        <v/>
      </c>
      <c r="AI200">
        <f>IF(AH200="","",ROUND(MOD(AH200,1)*1440,0))</f>
        <v/>
      </c>
      <c r="AJ200">
        <f>IF(T200="","",INDEX('Critérios e pesos'!$E$29:$E$32,MATCH(T200,'Critérios e pesos'!$A$29:$A$32,0)))</f>
        <v/>
      </c>
    </row>
    <row r="201">
      <c r="A201" s="13" t="n"/>
      <c r="B201" s="6" t="n"/>
      <c r="C201" s="6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6" t="n"/>
      <c r="O201" s="6" t="n"/>
      <c r="P201" s="14">
        <f>IF($B201="","",(E201="Claro")*'Critérios e pesos'!$G$5+(E201="Em parte")*'Critérios e pesos'!$G$5/2+(F201="Claro")*'Critérios e pesos'!$G$6+(F201="Em parte")*'Critérios e pesos'!$G$6/2+(G201="Claro")*'Critérios e pesos'!$G$7+(G201="Em parte")*'Critérios e pesos'!$G$7/2+(H201="Claro")*'Critérios e pesos'!$G$8+(H201="Em parte")*'Critérios e pesos'!$G$8/2)</f>
        <v/>
      </c>
      <c r="Q201" s="14">
        <f>IF($B201="","",(I201="Claro")*'Critérios e pesos'!$G$9+(I201="Em parte")*'Critérios e pesos'!$G$9/2+(J201="Claro")*'Critérios e pesos'!$G$10+(J201="Em parte")*'Critérios e pesos'!$G$10/2+(K201="Claro")*'Critérios e pesos'!$G$11+(K201="Em parte")*'Critérios e pesos'!$G$11/2+(L201="Claro")*'Critérios e pesos'!$G$12+(L201="Em parte")*'Critérios e pesos'!$G$12/2+(M201="Claro")*'Critérios e pesos'!$G$13+(M201="Em parte")*'Critérios e pesos'!$G$13/2)</f>
        <v/>
      </c>
      <c r="R201" s="14">
        <f>IF($B201="","",IFERROR(VLOOKUP(N201,'Critérios e pesos'!$B$17:$C$20,2,FALSE),0))</f>
        <v/>
      </c>
      <c r="S201" s="9">
        <f>IF($B201="","",MAX(0,P201+Q201+R201))</f>
        <v/>
      </c>
      <c r="T201" s="9">
        <f>IF($B201="","",IF(O201&lt;&gt;"","X",IF(S201&gt;='Critérios e pesos'!$C$29,"A",IF(S201&gt;='Critérios e pesos'!$C$30,"B","C"))))</f>
        <v/>
      </c>
      <c r="U201" s="14">
        <f>IF(T201="","",INDEX('Critérios e pesos'!$D$29:$D$32,MATCH(T201,'Critérios e pesos'!$A$29:$A$32,0)))</f>
        <v/>
      </c>
      <c r="V201" s="14">
        <f>IF(T201="","",INDEX('Critérios e pesos'!$F$29:$F$32,MATCH(T201,'Critérios e pesos'!$A$29:$A$32,0)))</f>
        <v/>
      </c>
      <c r="W201" s="15">
        <f>IF(OR(AH201="",AJ201=""),"",IF(AI201+AJ201*60&lt;=ROUND('Critérios e pesos'!$C$37*1440,0),INT(AH201)+(AI201+AJ201*60)/1440,WORKDAY(INT(AH201),1+INT((AI201+AJ201*60-ROUND('Critérios e pesos'!$C$37*1440,0)-1)/(ROUND('Critérios e pesos'!$C$37*1440,0)-ROUND('Critérios e pesos'!$C$36*1440,0))))+(ROUND('Critérios e pesos'!$C$36*1440,0)+AI201+AJ201*60-ROUND('Critérios e pesos'!$C$37*1440,0)-INT((AI201+AJ201*60-ROUND('Critérios e pesos'!$C$37*1440,0)-1)/(ROUND('Critérios e pesos'!$C$37*1440,0)-ROUND('Critérios e pesos'!$C$36*1440,0)))*(ROUND('Critérios e pesos'!$C$37*1440,0)-ROUND('Critérios e pesos'!$C$36*1440,0)))/1440))</f>
        <v/>
      </c>
      <c r="X201" s="16" t="n"/>
      <c r="Y201" s="14">
        <f>IF(W201="","",IF(X201="",IF(NOW()&gt;W201,"Atrasado","Em espera"),IF(X201&lt;=W201,"No prazo","Atrasado")))</f>
        <v/>
      </c>
      <c r="Z201" s="17" t="n"/>
      <c r="AA201" s="14">
        <f>IF($B201="","",IF(OR(T201="X",AD201&lt;&gt;""),0,MAX(0,MIN(Q201,'Critérios e pesos'!$C$38*INT((TODAY()-IF(Z201&lt;&gt;"",Z201,INT($A201)))/7)))))</f>
        <v/>
      </c>
      <c r="AB201" s="14">
        <f>IF($B201="","",MAX(0,S201-AA201))</f>
        <v/>
      </c>
      <c r="AC201" s="9">
        <f>IF($B201="","",IF(T201="X","X",IF(AB201&gt;='Critérios e pesos'!$C$29,"A",IF(AB201&gt;='Critérios e pesos'!$C$30,"B","C"))))</f>
        <v/>
      </c>
      <c r="AD201" s="4" t="n"/>
      <c r="AE201" s="18" t="n"/>
      <c r="AF201" s="6" t="n"/>
      <c r="AH201">
        <f>IF($A201="","",IF(OR(WEEKDAY($A201,2)&gt;5,ROUND(MOD($A201,1)*1440,0)&gt;=ROUND('Critérios e pesos'!$C$37*1440,0)),WORKDAY(INT($A201),1)+ROUND('Critérios e pesos'!$C$36*1440,0)/1440,IF(ROUND(MOD($A201,1)*1440,0)&lt;ROUND('Critérios e pesos'!$C$36*1440,0),INT($A201)+ROUND('Critérios e pesos'!$C$36*1440,0)/1440,$A201)))</f>
        <v/>
      </c>
      <c r="AI201">
        <f>IF(AH201="","",ROUND(MOD(AH201,1)*1440,0))</f>
        <v/>
      </c>
      <c r="AJ201">
        <f>IF(T201="","",INDEX('Critérios e pesos'!$E$29:$E$32,MATCH(T201,'Critérios e pesos'!$A$29:$A$32,0)))</f>
        <v/>
      </c>
    </row>
    <row r="202">
      <c r="A202" s="13" t="n"/>
      <c r="B202" s="6" t="n"/>
      <c r="C202" s="6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6" t="n"/>
      <c r="O202" s="6" t="n"/>
      <c r="P202" s="14">
        <f>IF($B202="","",(E202="Claro")*'Critérios e pesos'!$G$5+(E202="Em parte")*'Critérios e pesos'!$G$5/2+(F202="Claro")*'Critérios e pesos'!$G$6+(F202="Em parte")*'Critérios e pesos'!$G$6/2+(G202="Claro")*'Critérios e pesos'!$G$7+(G202="Em parte")*'Critérios e pesos'!$G$7/2+(H202="Claro")*'Critérios e pesos'!$G$8+(H202="Em parte")*'Critérios e pesos'!$G$8/2)</f>
        <v/>
      </c>
      <c r="Q202" s="14">
        <f>IF($B202="","",(I202="Claro")*'Critérios e pesos'!$G$9+(I202="Em parte")*'Critérios e pesos'!$G$9/2+(J202="Claro")*'Critérios e pesos'!$G$10+(J202="Em parte")*'Critérios e pesos'!$G$10/2+(K202="Claro")*'Critérios e pesos'!$G$11+(K202="Em parte")*'Critérios e pesos'!$G$11/2+(L202="Claro")*'Critérios e pesos'!$G$12+(L202="Em parte")*'Critérios e pesos'!$G$12/2+(M202="Claro")*'Critérios e pesos'!$G$13+(M202="Em parte")*'Critérios e pesos'!$G$13/2)</f>
        <v/>
      </c>
      <c r="R202" s="14">
        <f>IF($B202="","",IFERROR(VLOOKUP(N202,'Critérios e pesos'!$B$17:$C$20,2,FALSE),0))</f>
        <v/>
      </c>
      <c r="S202" s="9">
        <f>IF($B202="","",MAX(0,P202+Q202+R202))</f>
        <v/>
      </c>
      <c r="T202" s="9">
        <f>IF($B202="","",IF(O202&lt;&gt;"","X",IF(S202&gt;='Critérios e pesos'!$C$29,"A",IF(S202&gt;='Critérios e pesos'!$C$30,"B","C"))))</f>
        <v/>
      </c>
      <c r="U202" s="14">
        <f>IF(T202="","",INDEX('Critérios e pesos'!$D$29:$D$32,MATCH(T202,'Critérios e pesos'!$A$29:$A$32,0)))</f>
        <v/>
      </c>
      <c r="V202" s="14">
        <f>IF(T202="","",INDEX('Critérios e pesos'!$F$29:$F$32,MATCH(T202,'Critérios e pesos'!$A$29:$A$32,0)))</f>
        <v/>
      </c>
      <c r="W202" s="15">
        <f>IF(OR(AH202="",AJ202=""),"",IF(AI202+AJ202*60&lt;=ROUND('Critérios e pesos'!$C$37*1440,0),INT(AH202)+(AI202+AJ202*60)/1440,WORKDAY(INT(AH202),1+INT((AI202+AJ202*60-ROUND('Critérios e pesos'!$C$37*1440,0)-1)/(ROUND('Critérios e pesos'!$C$37*1440,0)-ROUND('Critérios e pesos'!$C$36*1440,0))))+(ROUND('Critérios e pesos'!$C$36*1440,0)+AI202+AJ202*60-ROUND('Critérios e pesos'!$C$37*1440,0)-INT((AI202+AJ202*60-ROUND('Critérios e pesos'!$C$37*1440,0)-1)/(ROUND('Critérios e pesos'!$C$37*1440,0)-ROUND('Critérios e pesos'!$C$36*1440,0)))*(ROUND('Critérios e pesos'!$C$37*1440,0)-ROUND('Critérios e pesos'!$C$36*1440,0)))/1440))</f>
        <v/>
      </c>
      <c r="X202" s="16" t="n"/>
      <c r="Y202" s="14">
        <f>IF(W202="","",IF(X202="",IF(NOW()&gt;W202,"Atrasado","Em espera"),IF(X202&lt;=W202,"No prazo","Atrasado")))</f>
        <v/>
      </c>
      <c r="Z202" s="17" t="n"/>
      <c r="AA202" s="14">
        <f>IF($B202="","",IF(OR(T202="X",AD202&lt;&gt;""),0,MAX(0,MIN(Q202,'Critérios e pesos'!$C$38*INT((TODAY()-IF(Z202&lt;&gt;"",Z202,INT($A202)))/7)))))</f>
        <v/>
      </c>
      <c r="AB202" s="14">
        <f>IF($B202="","",MAX(0,S202-AA202))</f>
        <v/>
      </c>
      <c r="AC202" s="9">
        <f>IF($B202="","",IF(T202="X","X",IF(AB202&gt;='Critérios e pesos'!$C$29,"A",IF(AB202&gt;='Critérios e pesos'!$C$30,"B","C"))))</f>
        <v/>
      </c>
      <c r="AD202" s="4" t="n"/>
      <c r="AE202" s="18" t="n"/>
      <c r="AF202" s="6" t="n"/>
      <c r="AH202">
        <f>IF($A202="","",IF(OR(WEEKDAY($A202,2)&gt;5,ROUND(MOD($A202,1)*1440,0)&gt;=ROUND('Critérios e pesos'!$C$37*1440,0)),WORKDAY(INT($A202),1)+ROUND('Critérios e pesos'!$C$36*1440,0)/1440,IF(ROUND(MOD($A202,1)*1440,0)&lt;ROUND('Critérios e pesos'!$C$36*1440,0),INT($A202)+ROUND('Critérios e pesos'!$C$36*1440,0)/1440,$A202)))</f>
        <v/>
      </c>
      <c r="AI202">
        <f>IF(AH202="","",ROUND(MOD(AH202,1)*1440,0))</f>
        <v/>
      </c>
      <c r="AJ202">
        <f>IF(T202="","",INDEX('Critérios e pesos'!$E$29:$E$32,MATCH(T202,'Critérios e pesos'!$A$29:$A$32,0)))</f>
        <v/>
      </c>
    </row>
    <row r="203">
      <c r="A203" s="13" t="n"/>
      <c r="B203" s="6" t="n"/>
      <c r="C203" s="6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6" t="n"/>
      <c r="O203" s="6" t="n"/>
      <c r="P203" s="14">
        <f>IF($B203="","",(E203="Claro")*'Critérios e pesos'!$G$5+(E203="Em parte")*'Critérios e pesos'!$G$5/2+(F203="Claro")*'Critérios e pesos'!$G$6+(F203="Em parte")*'Critérios e pesos'!$G$6/2+(G203="Claro")*'Critérios e pesos'!$G$7+(G203="Em parte")*'Critérios e pesos'!$G$7/2+(H203="Claro")*'Critérios e pesos'!$G$8+(H203="Em parte")*'Critérios e pesos'!$G$8/2)</f>
        <v/>
      </c>
      <c r="Q203" s="14">
        <f>IF($B203="","",(I203="Claro")*'Critérios e pesos'!$G$9+(I203="Em parte")*'Critérios e pesos'!$G$9/2+(J203="Claro")*'Critérios e pesos'!$G$10+(J203="Em parte")*'Critérios e pesos'!$G$10/2+(K203="Claro")*'Critérios e pesos'!$G$11+(K203="Em parte")*'Critérios e pesos'!$G$11/2+(L203="Claro")*'Critérios e pesos'!$G$12+(L203="Em parte")*'Critérios e pesos'!$G$12/2+(M203="Claro")*'Critérios e pesos'!$G$13+(M203="Em parte")*'Critérios e pesos'!$G$13/2)</f>
        <v/>
      </c>
      <c r="R203" s="14">
        <f>IF($B203="","",IFERROR(VLOOKUP(N203,'Critérios e pesos'!$B$17:$C$20,2,FALSE),0))</f>
        <v/>
      </c>
      <c r="S203" s="9">
        <f>IF($B203="","",MAX(0,P203+Q203+R203))</f>
        <v/>
      </c>
      <c r="T203" s="9">
        <f>IF($B203="","",IF(O203&lt;&gt;"","X",IF(S203&gt;='Critérios e pesos'!$C$29,"A",IF(S203&gt;='Critérios e pesos'!$C$30,"B","C"))))</f>
        <v/>
      </c>
      <c r="U203" s="14">
        <f>IF(T203="","",INDEX('Critérios e pesos'!$D$29:$D$32,MATCH(T203,'Critérios e pesos'!$A$29:$A$32,0)))</f>
        <v/>
      </c>
      <c r="V203" s="14">
        <f>IF(T203="","",INDEX('Critérios e pesos'!$F$29:$F$32,MATCH(T203,'Critérios e pesos'!$A$29:$A$32,0)))</f>
        <v/>
      </c>
      <c r="W203" s="15">
        <f>IF(OR(AH203="",AJ203=""),"",IF(AI203+AJ203*60&lt;=ROUND('Critérios e pesos'!$C$37*1440,0),INT(AH203)+(AI203+AJ203*60)/1440,WORKDAY(INT(AH203),1+INT((AI203+AJ203*60-ROUND('Critérios e pesos'!$C$37*1440,0)-1)/(ROUND('Critérios e pesos'!$C$37*1440,0)-ROUND('Critérios e pesos'!$C$36*1440,0))))+(ROUND('Critérios e pesos'!$C$36*1440,0)+AI203+AJ203*60-ROUND('Critérios e pesos'!$C$37*1440,0)-INT((AI203+AJ203*60-ROUND('Critérios e pesos'!$C$37*1440,0)-1)/(ROUND('Critérios e pesos'!$C$37*1440,0)-ROUND('Critérios e pesos'!$C$36*1440,0)))*(ROUND('Critérios e pesos'!$C$37*1440,0)-ROUND('Critérios e pesos'!$C$36*1440,0)))/1440))</f>
        <v/>
      </c>
      <c r="X203" s="16" t="n"/>
      <c r="Y203" s="14">
        <f>IF(W203="","",IF(X203="",IF(NOW()&gt;W203,"Atrasado","Em espera"),IF(X203&lt;=W203,"No prazo","Atrasado")))</f>
        <v/>
      </c>
      <c r="Z203" s="17" t="n"/>
      <c r="AA203" s="14">
        <f>IF($B203="","",IF(OR(T203="X",AD203&lt;&gt;""),0,MAX(0,MIN(Q203,'Critérios e pesos'!$C$38*INT((TODAY()-IF(Z203&lt;&gt;"",Z203,INT($A203)))/7)))))</f>
        <v/>
      </c>
      <c r="AB203" s="14">
        <f>IF($B203="","",MAX(0,S203-AA203))</f>
        <v/>
      </c>
      <c r="AC203" s="9">
        <f>IF($B203="","",IF(T203="X","X",IF(AB203&gt;='Critérios e pesos'!$C$29,"A",IF(AB203&gt;='Critérios e pesos'!$C$30,"B","C"))))</f>
        <v/>
      </c>
      <c r="AD203" s="4" t="n"/>
      <c r="AE203" s="18" t="n"/>
      <c r="AF203" s="6" t="n"/>
      <c r="AH203">
        <f>IF($A203="","",IF(OR(WEEKDAY($A203,2)&gt;5,ROUND(MOD($A203,1)*1440,0)&gt;=ROUND('Critérios e pesos'!$C$37*1440,0)),WORKDAY(INT($A203),1)+ROUND('Critérios e pesos'!$C$36*1440,0)/1440,IF(ROUND(MOD($A203,1)*1440,0)&lt;ROUND('Critérios e pesos'!$C$36*1440,0),INT($A203)+ROUND('Critérios e pesos'!$C$36*1440,0)/1440,$A203)))</f>
        <v/>
      </c>
      <c r="AI203">
        <f>IF(AH203="","",ROUND(MOD(AH203,1)*1440,0))</f>
        <v/>
      </c>
      <c r="AJ203">
        <f>IF(T203="","",INDEX('Critérios e pesos'!$E$29:$E$32,MATCH(T203,'Critérios e pesos'!$A$29:$A$32,0)))</f>
        <v/>
      </c>
    </row>
    <row r="204">
      <c r="A204" s="13" t="n"/>
      <c r="B204" s="6" t="n"/>
      <c r="C204" s="6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6" t="n"/>
      <c r="O204" s="6" t="n"/>
      <c r="P204" s="14">
        <f>IF($B204="","",(E204="Claro")*'Critérios e pesos'!$G$5+(E204="Em parte")*'Critérios e pesos'!$G$5/2+(F204="Claro")*'Critérios e pesos'!$G$6+(F204="Em parte")*'Critérios e pesos'!$G$6/2+(G204="Claro")*'Critérios e pesos'!$G$7+(G204="Em parte")*'Critérios e pesos'!$G$7/2+(H204="Claro")*'Critérios e pesos'!$G$8+(H204="Em parte")*'Critérios e pesos'!$G$8/2)</f>
        <v/>
      </c>
      <c r="Q204" s="14">
        <f>IF($B204="","",(I204="Claro")*'Critérios e pesos'!$G$9+(I204="Em parte")*'Critérios e pesos'!$G$9/2+(J204="Claro")*'Critérios e pesos'!$G$10+(J204="Em parte")*'Critérios e pesos'!$G$10/2+(K204="Claro")*'Critérios e pesos'!$G$11+(K204="Em parte")*'Critérios e pesos'!$G$11/2+(L204="Claro")*'Critérios e pesos'!$G$12+(L204="Em parte")*'Critérios e pesos'!$G$12/2+(M204="Claro")*'Critérios e pesos'!$G$13+(M204="Em parte")*'Critérios e pesos'!$G$13/2)</f>
        <v/>
      </c>
      <c r="R204" s="14">
        <f>IF($B204="","",IFERROR(VLOOKUP(N204,'Critérios e pesos'!$B$17:$C$20,2,FALSE),0))</f>
        <v/>
      </c>
      <c r="S204" s="9">
        <f>IF($B204="","",MAX(0,P204+Q204+R204))</f>
        <v/>
      </c>
      <c r="T204" s="9">
        <f>IF($B204="","",IF(O204&lt;&gt;"","X",IF(S204&gt;='Critérios e pesos'!$C$29,"A",IF(S204&gt;='Critérios e pesos'!$C$30,"B","C"))))</f>
        <v/>
      </c>
      <c r="U204" s="14">
        <f>IF(T204="","",INDEX('Critérios e pesos'!$D$29:$D$32,MATCH(T204,'Critérios e pesos'!$A$29:$A$32,0)))</f>
        <v/>
      </c>
      <c r="V204" s="14">
        <f>IF(T204="","",INDEX('Critérios e pesos'!$F$29:$F$32,MATCH(T204,'Critérios e pesos'!$A$29:$A$32,0)))</f>
        <v/>
      </c>
      <c r="W204" s="15">
        <f>IF(OR(AH204="",AJ204=""),"",IF(AI204+AJ204*60&lt;=ROUND('Critérios e pesos'!$C$37*1440,0),INT(AH204)+(AI204+AJ204*60)/1440,WORKDAY(INT(AH204),1+INT((AI204+AJ204*60-ROUND('Critérios e pesos'!$C$37*1440,0)-1)/(ROUND('Critérios e pesos'!$C$37*1440,0)-ROUND('Critérios e pesos'!$C$36*1440,0))))+(ROUND('Critérios e pesos'!$C$36*1440,0)+AI204+AJ204*60-ROUND('Critérios e pesos'!$C$37*1440,0)-INT((AI204+AJ204*60-ROUND('Critérios e pesos'!$C$37*1440,0)-1)/(ROUND('Critérios e pesos'!$C$37*1440,0)-ROUND('Critérios e pesos'!$C$36*1440,0)))*(ROUND('Critérios e pesos'!$C$37*1440,0)-ROUND('Critérios e pesos'!$C$36*1440,0)))/1440))</f>
        <v/>
      </c>
      <c r="X204" s="16" t="n"/>
      <c r="Y204" s="14">
        <f>IF(W204="","",IF(X204="",IF(NOW()&gt;W204,"Atrasado","Em espera"),IF(X204&lt;=W204,"No prazo","Atrasado")))</f>
        <v/>
      </c>
      <c r="Z204" s="17" t="n"/>
      <c r="AA204" s="14">
        <f>IF($B204="","",IF(OR(T204="X",AD204&lt;&gt;""),0,MAX(0,MIN(Q204,'Critérios e pesos'!$C$38*INT((TODAY()-IF(Z204&lt;&gt;"",Z204,INT($A204)))/7)))))</f>
        <v/>
      </c>
      <c r="AB204" s="14">
        <f>IF($B204="","",MAX(0,S204-AA204))</f>
        <v/>
      </c>
      <c r="AC204" s="9">
        <f>IF($B204="","",IF(T204="X","X",IF(AB204&gt;='Critérios e pesos'!$C$29,"A",IF(AB204&gt;='Critérios e pesos'!$C$30,"B","C"))))</f>
        <v/>
      </c>
      <c r="AD204" s="4" t="n"/>
      <c r="AE204" s="18" t="n"/>
      <c r="AF204" s="6" t="n"/>
      <c r="AH204">
        <f>IF($A204="","",IF(OR(WEEKDAY($A204,2)&gt;5,ROUND(MOD($A204,1)*1440,0)&gt;=ROUND('Critérios e pesos'!$C$37*1440,0)),WORKDAY(INT($A204),1)+ROUND('Critérios e pesos'!$C$36*1440,0)/1440,IF(ROUND(MOD($A204,1)*1440,0)&lt;ROUND('Critérios e pesos'!$C$36*1440,0),INT($A204)+ROUND('Critérios e pesos'!$C$36*1440,0)/1440,$A204)))</f>
        <v/>
      </c>
      <c r="AI204">
        <f>IF(AH204="","",ROUND(MOD(AH204,1)*1440,0))</f>
        <v/>
      </c>
      <c r="AJ204">
        <f>IF(T204="","",INDEX('Critérios e pesos'!$E$29:$E$32,MATCH(T204,'Critérios e pesos'!$A$29:$A$32,0)))</f>
        <v/>
      </c>
    </row>
    <row r="205">
      <c r="A205" s="13" t="n"/>
      <c r="B205" s="6" t="n"/>
      <c r="C205" s="6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6" t="n"/>
      <c r="O205" s="6" t="n"/>
      <c r="P205" s="14">
        <f>IF($B205="","",(E205="Claro")*'Critérios e pesos'!$G$5+(E205="Em parte")*'Critérios e pesos'!$G$5/2+(F205="Claro")*'Critérios e pesos'!$G$6+(F205="Em parte")*'Critérios e pesos'!$G$6/2+(G205="Claro")*'Critérios e pesos'!$G$7+(G205="Em parte")*'Critérios e pesos'!$G$7/2+(H205="Claro")*'Critérios e pesos'!$G$8+(H205="Em parte")*'Critérios e pesos'!$G$8/2)</f>
        <v/>
      </c>
      <c r="Q205" s="14">
        <f>IF($B205="","",(I205="Claro")*'Critérios e pesos'!$G$9+(I205="Em parte")*'Critérios e pesos'!$G$9/2+(J205="Claro")*'Critérios e pesos'!$G$10+(J205="Em parte")*'Critérios e pesos'!$G$10/2+(K205="Claro")*'Critérios e pesos'!$G$11+(K205="Em parte")*'Critérios e pesos'!$G$11/2+(L205="Claro")*'Critérios e pesos'!$G$12+(L205="Em parte")*'Critérios e pesos'!$G$12/2+(M205="Claro")*'Critérios e pesos'!$G$13+(M205="Em parte")*'Critérios e pesos'!$G$13/2)</f>
        <v/>
      </c>
      <c r="R205" s="14">
        <f>IF($B205="","",IFERROR(VLOOKUP(N205,'Critérios e pesos'!$B$17:$C$20,2,FALSE),0))</f>
        <v/>
      </c>
      <c r="S205" s="9">
        <f>IF($B205="","",MAX(0,P205+Q205+R205))</f>
        <v/>
      </c>
      <c r="T205" s="9">
        <f>IF($B205="","",IF(O205&lt;&gt;"","X",IF(S205&gt;='Critérios e pesos'!$C$29,"A",IF(S205&gt;='Critérios e pesos'!$C$30,"B","C"))))</f>
        <v/>
      </c>
      <c r="U205" s="14">
        <f>IF(T205="","",INDEX('Critérios e pesos'!$D$29:$D$32,MATCH(T205,'Critérios e pesos'!$A$29:$A$32,0)))</f>
        <v/>
      </c>
      <c r="V205" s="14">
        <f>IF(T205="","",INDEX('Critérios e pesos'!$F$29:$F$32,MATCH(T205,'Critérios e pesos'!$A$29:$A$32,0)))</f>
        <v/>
      </c>
      <c r="W205" s="15">
        <f>IF(OR(AH205="",AJ205=""),"",IF(AI205+AJ205*60&lt;=ROUND('Critérios e pesos'!$C$37*1440,0),INT(AH205)+(AI205+AJ205*60)/1440,WORKDAY(INT(AH205),1+INT((AI205+AJ205*60-ROUND('Critérios e pesos'!$C$37*1440,0)-1)/(ROUND('Critérios e pesos'!$C$37*1440,0)-ROUND('Critérios e pesos'!$C$36*1440,0))))+(ROUND('Critérios e pesos'!$C$36*1440,0)+AI205+AJ205*60-ROUND('Critérios e pesos'!$C$37*1440,0)-INT((AI205+AJ205*60-ROUND('Critérios e pesos'!$C$37*1440,0)-1)/(ROUND('Critérios e pesos'!$C$37*1440,0)-ROUND('Critérios e pesos'!$C$36*1440,0)))*(ROUND('Critérios e pesos'!$C$37*1440,0)-ROUND('Critérios e pesos'!$C$36*1440,0)))/1440))</f>
        <v/>
      </c>
      <c r="X205" s="16" t="n"/>
      <c r="Y205" s="14">
        <f>IF(W205="","",IF(X205="",IF(NOW()&gt;W205,"Atrasado","Em espera"),IF(X205&lt;=W205,"No prazo","Atrasado")))</f>
        <v/>
      </c>
      <c r="Z205" s="17" t="n"/>
      <c r="AA205" s="14">
        <f>IF($B205="","",IF(OR(T205="X",AD205&lt;&gt;""),0,MAX(0,MIN(Q205,'Critérios e pesos'!$C$38*INT((TODAY()-IF(Z205&lt;&gt;"",Z205,INT($A205)))/7)))))</f>
        <v/>
      </c>
      <c r="AB205" s="14">
        <f>IF($B205="","",MAX(0,S205-AA205))</f>
        <v/>
      </c>
      <c r="AC205" s="9">
        <f>IF($B205="","",IF(T205="X","X",IF(AB205&gt;='Critérios e pesos'!$C$29,"A",IF(AB205&gt;='Critérios e pesos'!$C$30,"B","C"))))</f>
        <v/>
      </c>
      <c r="AD205" s="4" t="n"/>
      <c r="AE205" s="18" t="n"/>
      <c r="AF205" s="6" t="n"/>
      <c r="AH205">
        <f>IF($A205="","",IF(OR(WEEKDAY($A205,2)&gt;5,ROUND(MOD($A205,1)*1440,0)&gt;=ROUND('Critérios e pesos'!$C$37*1440,0)),WORKDAY(INT($A205),1)+ROUND('Critérios e pesos'!$C$36*1440,0)/1440,IF(ROUND(MOD($A205,1)*1440,0)&lt;ROUND('Critérios e pesos'!$C$36*1440,0),INT($A205)+ROUND('Critérios e pesos'!$C$36*1440,0)/1440,$A205)))</f>
        <v/>
      </c>
      <c r="AI205">
        <f>IF(AH205="","",ROUND(MOD(AH205,1)*1440,0))</f>
        <v/>
      </c>
      <c r="AJ205">
        <f>IF(T205="","",INDEX('Critérios e pesos'!$E$29:$E$32,MATCH(T205,'Critérios e pesos'!$A$29:$A$32,0)))</f>
        <v/>
      </c>
    </row>
    <row r="206">
      <c r="A206" s="13" t="n"/>
      <c r="B206" s="6" t="n"/>
      <c r="C206" s="6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6" t="n"/>
      <c r="O206" s="6" t="n"/>
      <c r="P206" s="14">
        <f>IF($B206="","",(E206="Claro")*'Critérios e pesos'!$G$5+(E206="Em parte")*'Critérios e pesos'!$G$5/2+(F206="Claro")*'Critérios e pesos'!$G$6+(F206="Em parte")*'Critérios e pesos'!$G$6/2+(G206="Claro")*'Critérios e pesos'!$G$7+(G206="Em parte")*'Critérios e pesos'!$G$7/2+(H206="Claro")*'Critérios e pesos'!$G$8+(H206="Em parte")*'Critérios e pesos'!$G$8/2)</f>
        <v/>
      </c>
      <c r="Q206" s="14">
        <f>IF($B206="","",(I206="Claro")*'Critérios e pesos'!$G$9+(I206="Em parte")*'Critérios e pesos'!$G$9/2+(J206="Claro")*'Critérios e pesos'!$G$10+(J206="Em parte")*'Critérios e pesos'!$G$10/2+(K206="Claro")*'Critérios e pesos'!$G$11+(K206="Em parte")*'Critérios e pesos'!$G$11/2+(L206="Claro")*'Critérios e pesos'!$G$12+(L206="Em parte")*'Critérios e pesos'!$G$12/2+(M206="Claro")*'Critérios e pesos'!$G$13+(M206="Em parte")*'Critérios e pesos'!$G$13/2)</f>
        <v/>
      </c>
      <c r="R206" s="14">
        <f>IF($B206="","",IFERROR(VLOOKUP(N206,'Critérios e pesos'!$B$17:$C$20,2,FALSE),0))</f>
        <v/>
      </c>
      <c r="S206" s="9">
        <f>IF($B206="","",MAX(0,P206+Q206+R206))</f>
        <v/>
      </c>
      <c r="T206" s="9">
        <f>IF($B206="","",IF(O206&lt;&gt;"","X",IF(S206&gt;='Critérios e pesos'!$C$29,"A",IF(S206&gt;='Critérios e pesos'!$C$30,"B","C"))))</f>
        <v/>
      </c>
      <c r="U206" s="14">
        <f>IF(T206="","",INDEX('Critérios e pesos'!$D$29:$D$32,MATCH(T206,'Critérios e pesos'!$A$29:$A$32,0)))</f>
        <v/>
      </c>
      <c r="V206" s="14">
        <f>IF(T206="","",INDEX('Critérios e pesos'!$F$29:$F$32,MATCH(T206,'Critérios e pesos'!$A$29:$A$32,0)))</f>
        <v/>
      </c>
      <c r="W206" s="15">
        <f>IF(OR(AH206="",AJ206=""),"",IF(AI206+AJ206*60&lt;=ROUND('Critérios e pesos'!$C$37*1440,0),INT(AH206)+(AI206+AJ206*60)/1440,WORKDAY(INT(AH206),1+INT((AI206+AJ206*60-ROUND('Critérios e pesos'!$C$37*1440,0)-1)/(ROUND('Critérios e pesos'!$C$37*1440,0)-ROUND('Critérios e pesos'!$C$36*1440,0))))+(ROUND('Critérios e pesos'!$C$36*1440,0)+AI206+AJ206*60-ROUND('Critérios e pesos'!$C$37*1440,0)-INT((AI206+AJ206*60-ROUND('Critérios e pesos'!$C$37*1440,0)-1)/(ROUND('Critérios e pesos'!$C$37*1440,0)-ROUND('Critérios e pesos'!$C$36*1440,0)))*(ROUND('Critérios e pesos'!$C$37*1440,0)-ROUND('Critérios e pesos'!$C$36*1440,0)))/1440))</f>
        <v/>
      </c>
      <c r="X206" s="16" t="n"/>
      <c r="Y206" s="14">
        <f>IF(W206="","",IF(X206="",IF(NOW()&gt;W206,"Atrasado","Em espera"),IF(X206&lt;=W206,"No prazo","Atrasado")))</f>
        <v/>
      </c>
      <c r="Z206" s="17" t="n"/>
      <c r="AA206" s="14">
        <f>IF($B206="","",IF(OR(T206="X",AD206&lt;&gt;""),0,MAX(0,MIN(Q206,'Critérios e pesos'!$C$38*INT((TODAY()-IF(Z206&lt;&gt;"",Z206,INT($A206)))/7)))))</f>
        <v/>
      </c>
      <c r="AB206" s="14">
        <f>IF($B206="","",MAX(0,S206-AA206))</f>
        <v/>
      </c>
      <c r="AC206" s="9">
        <f>IF($B206="","",IF(T206="X","X",IF(AB206&gt;='Critérios e pesos'!$C$29,"A",IF(AB206&gt;='Critérios e pesos'!$C$30,"B","C"))))</f>
        <v/>
      </c>
      <c r="AD206" s="4" t="n"/>
      <c r="AE206" s="18" t="n"/>
      <c r="AF206" s="6" t="n"/>
      <c r="AH206">
        <f>IF($A206="","",IF(OR(WEEKDAY($A206,2)&gt;5,ROUND(MOD($A206,1)*1440,0)&gt;=ROUND('Critérios e pesos'!$C$37*1440,0)),WORKDAY(INT($A206),1)+ROUND('Critérios e pesos'!$C$36*1440,0)/1440,IF(ROUND(MOD($A206,1)*1440,0)&lt;ROUND('Critérios e pesos'!$C$36*1440,0),INT($A206)+ROUND('Critérios e pesos'!$C$36*1440,0)/1440,$A206)))</f>
        <v/>
      </c>
      <c r="AI206">
        <f>IF(AH206="","",ROUND(MOD(AH206,1)*1440,0))</f>
        <v/>
      </c>
      <c r="AJ206">
        <f>IF(T206="","",INDEX('Critérios e pesos'!$E$29:$E$32,MATCH(T206,'Critérios e pesos'!$A$29:$A$32,0)))</f>
        <v/>
      </c>
    </row>
    <row r="207">
      <c r="A207" s="13" t="n"/>
      <c r="B207" s="6" t="n"/>
      <c r="C207" s="6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6" t="n"/>
      <c r="O207" s="6" t="n"/>
      <c r="P207" s="14">
        <f>IF($B207="","",(E207="Claro")*'Critérios e pesos'!$G$5+(E207="Em parte")*'Critérios e pesos'!$G$5/2+(F207="Claro")*'Critérios e pesos'!$G$6+(F207="Em parte")*'Critérios e pesos'!$G$6/2+(G207="Claro")*'Critérios e pesos'!$G$7+(G207="Em parte")*'Critérios e pesos'!$G$7/2+(H207="Claro")*'Critérios e pesos'!$G$8+(H207="Em parte")*'Critérios e pesos'!$G$8/2)</f>
        <v/>
      </c>
      <c r="Q207" s="14">
        <f>IF($B207="","",(I207="Claro")*'Critérios e pesos'!$G$9+(I207="Em parte")*'Critérios e pesos'!$G$9/2+(J207="Claro")*'Critérios e pesos'!$G$10+(J207="Em parte")*'Critérios e pesos'!$G$10/2+(K207="Claro")*'Critérios e pesos'!$G$11+(K207="Em parte")*'Critérios e pesos'!$G$11/2+(L207="Claro")*'Critérios e pesos'!$G$12+(L207="Em parte")*'Critérios e pesos'!$G$12/2+(M207="Claro")*'Critérios e pesos'!$G$13+(M207="Em parte")*'Critérios e pesos'!$G$13/2)</f>
        <v/>
      </c>
      <c r="R207" s="14">
        <f>IF($B207="","",IFERROR(VLOOKUP(N207,'Critérios e pesos'!$B$17:$C$20,2,FALSE),0))</f>
        <v/>
      </c>
      <c r="S207" s="9">
        <f>IF($B207="","",MAX(0,P207+Q207+R207))</f>
        <v/>
      </c>
      <c r="T207" s="9">
        <f>IF($B207="","",IF(O207&lt;&gt;"","X",IF(S207&gt;='Critérios e pesos'!$C$29,"A",IF(S207&gt;='Critérios e pesos'!$C$30,"B","C"))))</f>
        <v/>
      </c>
      <c r="U207" s="14">
        <f>IF(T207="","",INDEX('Critérios e pesos'!$D$29:$D$32,MATCH(T207,'Critérios e pesos'!$A$29:$A$32,0)))</f>
        <v/>
      </c>
      <c r="V207" s="14">
        <f>IF(T207="","",INDEX('Critérios e pesos'!$F$29:$F$32,MATCH(T207,'Critérios e pesos'!$A$29:$A$32,0)))</f>
        <v/>
      </c>
      <c r="W207" s="15">
        <f>IF(OR(AH207="",AJ207=""),"",IF(AI207+AJ207*60&lt;=ROUND('Critérios e pesos'!$C$37*1440,0),INT(AH207)+(AI207+AJ207*60)/1440,WORKDAY(INT(AH207),1+INT((AI207+AJ207*60-ROUND('Critérios e pesos'!$C$37*1440,0)-1)/(ROUND('Critérios e pesos'!$C$37*1440,0)-ROUND('Critérios e pesos'!$C$36*1440,0))))+(ROUND('Critérios e pesos'!$C$36*1440,0)+AI207+AJ207*60-ROUND('Critérios e pesos'!$C$37*1440,0)-INT((AI207+AJ207*60-ROUND('Critérios e pesos'!$C$37*1440,0)-1)/(ROUND('Critérios e pesos'!$C$37*1440,0)-ROUND('Critérios e pesos'!$C$36*1440,0)))*(ROUND('Critérios e pesos'!$C$37*1440,0)-ROUND('Critérios e pesos'!$C$36*1440,0)))/1440))</f>
        <v/>
      </c>
      <c r="X207" s="16" t="n"/>
      <c r="Y207" s="14">
        <f>IF(W207="","",IF(X207="",IF(NOW()&gt;W207,"Atrasado","Em espera"),IF(X207&lt;=W207,"No prazo","Atrasado")))</f>
        <v/>
      </c>
      <c r="Z207" s="17" t="n"/>
      <c r="AA207" s="14">
        <f>IF($B207="","",IF(OR(T207="X",AD207&lt;&gt;""),0,MAX(0,MIN(Q207,'Critérios e pesos'!$C$38*INT((TODAY()-IF(Z207&lt;&gt;"",Z207,INT($A207)))/7)))))</f>
        <v/>
      </c>
      <c r="AB207" s="14">
        <f>IF($B207="","",MAX(0,S207-AA207))</f>
        <v/>
      </c>
      <c r="AC207" s="9">
        <f>IF($B207="","",IF(T207="X","X",IF(AB207&gt;='Critérios e pesos'!$C$29,"A",IF(AB207&gt;='Critérios e pesos'!$C$30,"B","C"))))</f>
        <v/>
      </c>
      <c r="AD207" s="4" t="n"/>
      <c r="AE207" s="18" t="n"/>
      <c r="AF207" s="6" t="n"/>
      <c r="AH207">
        <f>IF($A207="","",IF(OR(WEEKDAY($A207,2)&gt;5,ROUND(MOD($A207,1)*1440,0)&gt;=ROUND('Critérios e pesos'!$C$37*1440,0)),WORKDAY(INT($A207),1)+ROUND('Critérios e pesos'!$C$36*1440,0)/1440,IF(ROUND(MOD($A207,1)*1440,0)&lt;ROUND('Critérios e pesos'!$C$36*1440,0),INT($A207)+ROUND('Critérios e pesos'!$C$36*1440,0)/1440,$A207)))</f>
        <v/>
      </c>
      <c r="AI207">
        <f>IF(AH207="","",ROUND(MOD(AH207,1)*1440,0))</f>
        <v/>
      </c>
      <c r="AJ207">
        <f>IF(T207="","",INDEX('Critérios e pesos'!$E$29:$E$32,MATCH(T207,'Critérios e pesos'!$A$29:$A$32,0)))</f>
        <v/>
      </c>
    </row>
    <row r="208">
      <c r="A208" s="13" t="n"/>
      <c r="B208" s="6" t="n"/>
      <c r="C208" s="6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6" t="n"/>
      <c r="O208" s="6" t="n"/>
      <c r="P208" s="14">
        <f>IF($B208="","",(E208="Claro")*'Critérios e pesos'!$G$5+(E208="Em parte")*'Critérios e pesos'!$G$5/2+(F208="Claro")*'Critérios e pesos'!$G$6+(F208="Em parte")*'Critérios e pesos'!$G$6/2+(G208="Claro")*'Critérios e pesos'!$G$7+(G208="Em parte")*'Critérios e pesos'!$G$7/2+(H208="Claro")*'Critérios e pesos'!$G$8+(H208="Em parte")*'Critérios e pesos'!$G$8/2)</f>
        <v/>
      </c>
      <c r="Q208" s="14">
        <f>IF($B208="","",(I208="Claro")*'Critérios e pesos'!$G$9+(I208="Em parte")*'Critérios e pesos'!$G$9/2+(J208="Claro")*'Critérios e pesos'!$G$10+(J208="Em parte")*'Critérios e pesos'!$G$10/2+(K208="Claro")*'Critérios e pesos'!$G$11+(K208="Em parte")*'Critérios e pesos'!$G$11/2+(L208="Claro")*'Critérios e pesos'!$G$12+(L208="Em parte")*'Critérios e pesos'!$G$12/2+(M208="Claro")*'Critérios e pesos'!$G$13+(M208="Em parte")*'Critérios e pesos'!$G$13/2)</f>
        <v/>
      </c>
      <c r="R208" s="14">
        <f>IF($B208="","",IFERROR(VLOOKUP(N208,'Critérios e pesos'!$B$17:$C$20,2,FALSE),0))</f>
        <v/>
      </c>
      <c r="S208" s="9">
        <f>IF($B208="","",MAX(0,P208+Q208+R208))</f>
        <v/>
      </c>
      <c r="T208" s="9">
        <f>IF($B208="","",IF(O208&lt;&gt;"","X",IF(S208&gt;='Critérios e pesos'!$C$29,"A",IF(S208&gt;='Critérios e pesos'!$C$30,"B","C"))))</f>
        <v/>
      </c>
      <c r="U208" s="14">
        <f>IF(T208="","",INDEX('Critérios e pesos'!$D$29:$D$32,MATCH(T208,'Critérios e pesos'!$A$29:$A$32,0)))</f>
        <v/>
      </c>
      <c r="V208" s="14">
        <f>IF(T208="","",INDEX('Critérios e pesos'!$F$29:$F$32,MATCH(T208,'Critérios e pesos'!$A$29:$A$32,0)))</f>
        <v/>
      </c>
      <c r="W208" s="15">
        <f>IF(OR(AH208="",AJ208=""),"",IF(AI208+AJ208*60&lt;=ROUND('Critérios e pesos'!$C$37*1440,0),INT(AH208)+(AI208+AJ208*60)/1440,WORKDAY(INT(AH208),1+INT((AI208+AJ208*60-ROUND('Critérios e pesos'!$C$37*1440,0)-1)/(ROUND('Critérios e pesos'!$C$37*1440,0)-ROUND('Critérios e pesos'!$C$36*1440,0))))+(ROUND('Critérios e pesos'!$C$36*1440,0)+AI208+AJ208*60-ROUND('Critérios e pesos'!$C$37*1440,0)-INT((AI208+AJ208*60-ROUND('Critérios e pesos'!$C$37*1440,0)-1)/(ROUND('Critérios e pesos'!$C$37*1440,0)-ROUND('Critérios e pesos'!$C$36*1440,0)))*(ROUND('Critérios e pesos'!$C$37*1440,0)-ROUND('Critérios e pesos'!$C$36*1440,0)))/1440))</f>
        <v/>
      </c>
      <c r="X208" s="16" t="n"/>
      <c r="Y208" s="14">
        <f>IF(W208="","",IF(X208="",IF(NOW()&gt;W208,"Atrasado","Em espera"),IF(X208&lt;=W208,"No prazo","Atrasado")))</f>
        <v/>
      </c>
      <c r="Z208" s="17" t="n"/>
      <c r="AA208" s="14">
        <f>IF($B208="","",IF(OR(T208="X",AD208&lt;&gt;""),0,MAX(0,MIN(Q208,'Critérios e pesos'!$C$38*INT((TODAY()-IF(Z208&lt;&gt;"",Z208,INT($A208)))/7)))))</f>
        <v/>
      </c>
      <c r="AB208" s="14">
        <f>IF($B208="","",MAX(0,S208-AA208))</f>
        <v/>
      </c>
      <c r="AC208" s="9">
        <f>IF($B208="","",IF(T208="X","X",IF(AB208&gt;='Critérios e pesos'!$C$29,"A",IF(AB208&gt;='Critérios e pesos'!$C$30,"B","C"))))</f>
        <v/>
      </c>
      <c r="AD208" s="4" t="n"/>
      <c r="AE208" s="18" t="n"/>
      <c r="AF208" s="6" t="n"/>
      <c r="AH208">
        <f>IF($A208="","",IF(OR(WEEKDAY($A208,2)&gt;5,ROUND(MOD($A208,1)*1440,0)&gt;=ROUND('Critérios e pesos'!$C$37*1440,0)),WORKDAY(INT($A208),1)+ROUND('Critérios e pesos'!$C$36*1440,0)/1440,IF(ROUND(MOD($A208,1)*1440,0)&lt;ROUND('Critérios e pesos'!$C$36*1440,0),INT($A208)+ROUND('Critérios e pesos'!$C$36*1440,0)/1440,$A208)))</f>
        <v/>
      </c>
      <c r="AI208">
        <f>IF(AH208="","",ROUND(MOD(AH208,1)*1440,0))</f>
        <v/>
      </c>
      <c r="AJ208">
        <f>IF(T208="","",INDEX('Critérios e pesos'!$E$29:$E$32,MATCH(T208,'Critérios e pesos'!$A$29:$A$32,0)))</f>
        <v/>
      </c>
    </row>
    <row r="209">
      <c r="A209" s="13" t="n"/>
      <c r="B209" s="6" t="n"/>
      <c r="C209" s="6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6" t="n"/>
      <c r="O209" s="6" t="n"/>
      <c r="P209" s="14">
        <f>IF($B209="","",(E209="Claro")*'Critérios e pesos'!$G$5+(E209="Em parte")*'Critérios e pesos'!$G$5/2+(F209="Claro")*'Critérios e pesos'!$G$6+(F209="Em parte")*'Critérios e pesos'!$G$6/2+(G209="Claro")*'Critérios e pesos'!$G$7+(G209="Em parte")*'Critérios e pesos'!$G$7/2+(H209="Claro")*'Critérios e pesos'!$G$8+(H209="Em parte")*'Critérios e pesos'!$G$8/2)</f>
        <v/>
      </c>
      <c r="Q209" s="14">
        <f>IF($B209="","",(I209="Claro")*'Critérios e pesos'!$G$9+(I209="Em parte")*'Critérios e pesos'!$G$9/2+(J209="Claro")*'Critérios e pesos'!$G$10+(J209="Em parte")*'Critérios e pesos'!$G$10/2+(K209="Claro")*'Critérios e pesos'!$G$11+(K209="Em parte")*'Critérios e pesos'!$G$11/2+(L209="Claro")*'Critérios e pesos'!$G$12+(L209="Em parte")*'Critérios e pesos'!$G$12/2+(M209="Claro")*'Critérios e pesos'!$G$13+(M209="Em parte")*'Critérios e pesos'!$G$13/2)</f>
        <v/>
      </c>
      <c r="R209" s="14">
        <f>IF($B209="","",IFERROR(VLOOKUP(N209,'Critérios e pesos'!$B$17:$C$20,2,FALSE),0))</f>
        <v/>
      </c>
      <c r="S209" s="9">
        <f>IF($B209="","",MAX(0,P209+Q209+R209))</f>
        <v/>
      </c>
      <c r="T209" s="9">
        <f>IF($B209="","",IF(O209&lt;&gt;"","X",IF(S209&gt;='Critérios e pesos'!$C$29,"A",IF(S209&gt;='Critérios e pesos'!$C$30,"B","C"))))</f>
        <v/>
      </c>
      <c r="U209" s="14">
        <f>IF(T209="","",INDEX('Critérios e pesos'!$D$29:$D$32,MATCH(T209,'Critérios e pesos'!$A$29:$A$32,0)))</f>
        <v/>
      </c>
      <c r="V209" s="14">
        <f>IF(T209="","",INDEX('Critérios e pesos'!$F$29:$F$32,MATCH(T209,'Critérios e pesos'!$A$29:$A$32,0)))</f>
        <v/>
      </c>
      <c r="W209" s="15">
        <f>IF(OR(AH209="",AJ209=""),"",IF(AI209+AJ209*60&lt;=ROUND('Critérios e pesos'!$C$37*1440,0),INT(AH209)+(AI209+AJ209*60)/1440,WORKDAY(INT(AH209),1+INT((AI209+AJ209*60-ROUND('Critérios e pesos'!$C$37*1440,0)-1)/(ROUND('Critérios e pesos'!$C$37*1440,0)-ROUND('Critérios e pesos'!$C$36*1440,0))))+(ROUND('Critérios e pesos'!$C$36*1440,0)+AI209+AJ209*60-ROUND('Critérios e pesos'!$C$37*1440,0)-INT((AI209+AJ209*60-ROUND('Critérios e pesos'!$C$37*1440,0)-1)/(ROUND('Critérios e pesos'!$C$37*1440,0)-ROUND('Critérios e pesos'!$C$36*1440,0)))*(ROUND('Critérios e pesos'!$C$37*1440,0)-ROUND('Critérios e pesos'!$C$36*1440,0)))/1440))</f>
        <v/>
      </c>
      <c r="X209" s="16" t="n"/>
      <c r="Y209" s="14">
        <f>IF(W209="","",IF(X209="",IF(NOW()&gt;W209,"Atrasado","Em espera"),IF(X209&lt;=W209,"No prazo","Atrasado")))</f>
        <v/>
      </c>
      <c r="Z209" s="17" t="n"/>
      <c r="AA209" s="14">
        <f>IF($B209="","",IF(OR(T209="X",AD209&lt;&gt;""),0,MAX(0,MIN(Q209,'Critérios e pesos'!$C$38*INT((TODAY()-IF(Z209&lt;&gt;"",Z209,INT($A209)))/7)))))</f>
        <v/>
      </c>
      <c r="AB209" s="14">
        <f>IF($B209="","",MAX(0,S209-AA209))</f>
        <v/>
      </c>
      <c r="AC209" s="9">
        <f>IF($B209="","",IF(T209="X","X",IF(AB209&gt;='Critérios e pesos'!$C$29,"A",IF(AB209&gt;='Critérios e pesos'!$C$30,"B","C"))))</f>
        <v/>
      </c>
      <c r="AD209" s="4" t="n"/>
      <c r="AE209" s="18" t="n"/>
      <c r="AF209" s="6" t="n"/>
      <c r="AH209">
        <f>IF($A209="","",IF(OR(WEEKDAY($A209,2)&gt;5,ROUND(MOD($A209,1)*1440,0)&gt;=ROUND('Critérios e pesos'!$C$37*1440,0)),WORKDAY(INT($A209),1)+ROUND('Critérios e pesos'!$C$36*1440,0)/1440,IF(ROUND(MOD($A209,1)*1440,0)&lt;ROUND('Critérios e pesos'!$C$36*1440,0),INT($A209)+ROUND('Critérios e pesos'!$C$36*1440,0)/1440,$A209)))</f>
        <v/>
      </c>
      <c r="AI209">
        <f>IF(AH209="","",ROUND(MOD(AH209,1)*1440,0))</f>
        <v/>
      </c>
      <c r="AJ209">
        <f>IF(T209="","",INDEX('Critérios e pesos'!$E$29:$E$32,MATCH(T209,'Critérios e pesos'!$A$29:$A$32,0)))</f>
        <v/>
      </c>
    </row>
    <row r="210">
      <c r="A210" s="13" t="n"/>
      <c r="B210" s="6" t="n"/>
      <c r="C210" s="6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6" t="n"/>
      <c r="O210" s="6" t="n"/>
      <c r="P210" s="14">
        <f>IF($B210="","",(E210="Claro")*'Critérios e pesos'!$G$5+(E210="Em parte")*'Critérios e pesos'!$G$5/2+(F210="Claro")*'Critérios e pesos'!$G$6+(F210="Em parte")*'Critérios e pesos'!$G$6/2+(G210="Claro")*'Critérios e pesos'!$G$7+(G210="Em parte")*'Critérios e pesos'!$G$7/2+(H210="Claro")*'Critérios e pesos'!$G$8+(H210="Em parte")*'Critérios e pesos'!$G$8/2)</f>
        <v/>
      </c>
      <c r="Q210" s="14">
        <f>IF($B210="","",(I210="Claro")*'Critérios e pesos'!$G$9+(I210="Em parte")*'Critérios e pesos'!$G$9/2+(J210="Claro")*'Critérios e pesos'!$G$10+(J210="Em parte")*'Critérios e pesos'!$G$10/2+(K210="Claro")*'Critérios e pesos'!$G$11+(K210="Em parte")*'Critérios e pesos'!$G$11/2+(L210="Claro")*'Critérios e pesos'!$G$12+(L210="Em parte")*'Critérios e pesos'!$G$12/2+(M210="Claro")*'Critérios e pesos'!$G$13+(M210="Em parte")*'Critérios e pesos'!$G$13/2)</f>
        <v/>
      </c>
      <c r="R210" s="14">
        <f>IF($B210="","",IFERROR(VLOOKUP(N210,'Critérios e pesos'!$B$17:$C$20,2,FALSE),0))</f>
        <v/>
      </c>
      <c r="S210" s="9">
        <f>IF($B210="","",MAX(0,P210+Q210+R210))</f>
        <v/>
      </c>
      <c r="T210" s="9">
        <f>IF($B210="","",IF(O210&lt;&gt;"","X",IF(S210&gt;='Critérios e pesos'!$C$29,"A",IF(S210&gt;='Critérios e pesos'!$C$30,"B","C"))))</f>
        <v/>
      </c>
      <c r="U210" s="14">
        <f>IF(T210="","",INDEX('Critérios e pesos'!$D$29:$D$32,MATCH(T210,'Critérios e pesos'!$A$29:$A$32,0)))</f>
        <v/>
      </c>
      <c r="V210" s="14">
        <f>IF(T210="","",INDEX('Critérios e pesos'!$F$29:$F$32,MATCH(T210,'Critérios e pesos'!$A$29:$A$32,0)))</f>
        <v/>
      </c>
      <c r="W210" s="15">
        <f>IF(OR(AH210="",AJ210=""),"",IF(AI210+AJ210*60&lt;=ROUND('Critérios e pesos'!$C$37*1440,0),INT(AH210)+(AI210+AJ210*60)/1440,WORKDAY(INT(AH210),1+INT((AI210+AJ210*60-ROUND('Critérios e pesos'!$C$37*1440,0)-1)/(ROUND('Critérios e pesos'!$C$37*1440,0)-ROUND('Critérios e pesos'!$C$36*1440,0))))+(ROUND('Critérios e pesos'!$C$36*1440,0)+AI210+AJ210*60-ROUND('Critérios e pesos'!$C$37*1440,0)-INT((AI210+AJ210*60-ROUND('Critérios e pesos'!$C$37*1440,0)-1)/(ROUND('Critérios e pesos'!$C$37*1440,0)-ROUND('Critérios e pesos'!$C$36*1440,0)))*(ROUND('Critérios e pesos'!$C$37*1440,0)-ROUND('Critérios e pesos'!$C$36*1440,0)))/1440))</f>
        <v/>
      </c>
      <c r="X210" s="16" t="n"/>
      <c r="Y210" s="14">
        <f>IF(W210="","",IF(X210="",IF(NOW()&gt;W210,"Atrasado","Em espera"),IF(X210&lt;=W210,"No prazo","Atrasado")))</f>
        <v/>
      </c>
      <c r="Z210" s="17" t="n"/>
      <c r="AA210" s="14">
        <f>IF($B210="","",IF(OR(T210="X",AD210&lt;&gt;""),0,MAX(0,MIN(Q210,'Critérios e pesos'!$C$38*INT((TODAY()-IF(Z210&lt;&gt;"",Z210,INT($A210)))/7)))))</f>
        <v/>
      </c>
      <c r="AB210" s="14">
        <f>IF($B210="","",MAX(0,S210-AA210))</f>
        <v/>
      </c>
      <c r="AC210" s="9">
        <f>IF($B210="","",IF(T210="X","X",IF(AB210&gt;='Critérios e pesos'!$C$29,"A",IF(AB210&gt;='Critérios e pesos'!$C$30,"B","C"))))</f>
        <v/>
      </c>
      <c r="AD210" s="4" t="n"/>
      <c r="AE210" s="18" t="n"/>
      <c r="AF210" s="6" t="n"/>
      <c r="AH210">
        <f>IF($A210="","",IF(OR(WEEKDAY($A210,2)&gt;5,ROUND(MOD($A210,1)*1440,0)&gt;=ROUND('Critérios e pesos'!$C$37*1440,0)),WORKDAY(INT($A210),1)+ROUND('Critérios e pesos'!$C$36*1440,0)/1440,IF(ROUND(MOD($A210,1)*1440,0)&lt;ROUND('Critérios e pesos'!$C$36*1440,0),INT($A210)+ROUND('Critérios e pesos'!$C$36*1440,0)/1440,$A210)))</f>
        <v/>
      </c>
      <c r="AI210">
        <f>IF(AH210="","",ROUND(MOD(AH210,1)*1440,0))</f>
        <v/>
      </c>
      <c r="AJ210">
        <f>IF(T210="","",INDEX('Critérios e pesos'!$E$29:$E$32,MATCH(T210,'Critérios e pesos'!$A$29:$A$32,0)))</f>
        <v/>
      </c>
    </row>
    <row r="211">
      <c r="A211" s="13" t="n"/>
      <c r="B211" s="6" t="n"/>
      <c r="C211" s="6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6" t="n"/>
      <c r="O211" s="6" t="n"/>
      <c r="P211" s="14">
        <f>IF($B211="","",(E211="Claro")*'Critérios e pesos'!$G$5+(E211="Em parte")*'Critérios e pesos'!$G$5/2+(F211="Claro")*'Critérios e pesos'!$G$6+(F211="Em parte")*'Critérios e pesos'!$G$6/2+(G211="Claro")*'Critérios e pesos'!$G$7+(G211="Em parte")*'Critérios e pesos'!$G$7/2+(H211="Claro")*'Critérios e pesos'!$G$8+(H211="Em parte")*'Critérios e pesos'!$G$8/2)</f>
        <v/>
      </c>
      <c r="Q211" s="14">
        <f>IF($B211="","",(I211="Claro")*'Critérios e pesos'!$G$9+(I211="Em parte")*'Critérios e pesos'!$G$9/2+(J211="Claro")*'Critérios e pesos'!$G$10+(J211="Em parte")*'Critérios e pesos'!$G$10/2+(K211="Claro")*'Critérios e pesos'!$G$11+(K211="Em parte")*'Critérios e pesos'!$G$11/2+(L211="Claro")*'Critérios e pesos'!$G$12+(L211="Em parte")*'Critérios e pesos'!$G$12/2+(M211="Claro")*'Critérios e pesos'!$G$13+(M211="Em parte")*'Critérios e pesos'!$G$13/2)</f>
        <v/>
      </c>
      <c r="R211" s="14">
        <f>IF($B211="","",IFERROR(VLOOKUP(N211,'Critérios e pesos'!$B$17:$C$20,2,FALSE),0))</f>
        <v/>
      </c>
      <c r="S211" s="9">
        <f>IF($B211="","",MAX(0,P211+Q211+R211))</f>
        <v/>
      </c>
      <c r="T211" s="9">
        <f>IF($B211="","",IF(O211&lt;&gt;"","X",IF(S211&gt;='Critérios e pesos'!$C$29,"A",IF(S211&gt;='Critérios e pesos'!$C$30,"B","C"))))</f>
        <v/>
      </c>
      <c r="U211" s="14">
        <f>IF(T211="","",INDEX('Critérios e pesos'!$D$29:$D$32,MATCH(T211,'Critérios e pesos'!$A$29:$A$32,0)))</f>
        <v/>
      </c>
      <c r="V211" s="14">
        <f>IF(T211="","",INDEX('Critérios e pesos'!$F$29:$F$32,MATCH(T211,'Critérios e pesos'!$A$29:$A$32,0)))</f>
        <v/>
      </c>
      <c r="W211" s="15">
        <f>IF(OR(AH211="",AJ211=""),"",IF(AI211+AJ211*60&lt;=ROUND('Critérios e pesos'!$C$37*1440,0),INT(AH211)+(AI211+AJ211*60)/1440,WORKDAY(INT(AH211),1+INT((AI211+AJ211*60-ROUND('Critérios e pesos'!$C$37*1440,0)-1)/(ROUND('Critérios e pesos'!$C$37*1440,0)-ROUND('Critérios e pesos'!$C$36*1440,0))))+(ROUND('Critérios e pesos'!$C$36*1440,0)+AI211+AJ211*60-ROUND('Critérios e pesos'!$C$37*1440,0)-INT((AI211+AJ211*60-ROUND('Critérios e pesos'!$C$37*1440,0)-1)/(ROUND('Critérios e pesos'!$C$37*1440,0)-ROUND('Critérios e pesos'!$C$36*1440,0)))*(ROUND('Critérios e pesos'!$C$37*1440,0)-ROUND('Critérios e pesos'!$C$36*1440,0)))/1440))</f>
        <v/>
      </c>
      <c r="X211" s="16" t="n"/>
      <c r="Y211" s="14">
        <f>IF(W211="","",IF(X211="",IF(NOW()&gt;W211,"Atrasado","Em espera"),IF(X211&lt;=W211,"No prazo","Atrasado")))</f>
        <v/>
      </c>
      <c r="Z211" s="17" t="n"/>
      <c r="AA211" s="14">
        <f>IF($B211="","",IF(OR(T211="X",AD211&lt;&gt;""),0,MAX(0,MIN(Q211,'Critérios e pesos'!$C$38*INT((TODAY()-IF(Z211&lt;&gt;"",Z211,INT($A211)))/7)))))</f>
        <v/>
      </c>
      <c r="AB211" s="14">
        <f>IF($B211="","",MAX(0,S211-AA211))</f>
        <v/>
      </c>
      <c r="AC211" s="9">
        <f>IF($B211="","",IF(T211="X","X",IF(AB211&gt;='Critérios e pesos'!$C$29,"A",IF(AB211&gt;='Critérios e pesos'!$C$30,"B","C"))))</f>
        <v/>
      </c>
      <c r="AD211" s="4" t="n"/>
      <c r="AE211" s="18" t="n"/>
      <c r="AF211" s="6" t="n"/>
      <c r="AH211">
        <f>IF($A211="","",IF(OR(WEEKDAY($A211,2)&gt;5,ROUND(MOD($A211,1)*1440,0)&gt;=ROUND('Critérios e pesos'!$C$37*1440,0)),WORKDAY(INT($A211),1)+ROUND('Critérios e pesos'!$C$36*1440,0)/1440,IF(ROUND(MOD($A211,1)*1440,0)&lt;ROUND('Critérios e pesos'!$C$36*1440,0),INT($A211)+ROUND('Critérios e pesos'!$C$36*1440,0)/1440,$A211)))</f>
        <v/>
      </c>
      <c r="AI211">
        <f>IF(AH211="","",ROUND(MOD(AH211,1)*1440,0))</f>
        <v/>
      </c>
      <c r="AJ211">
        <f>IF(T211="","",INDEX('Critérios e pesos'!$E$29:$E$32,MATCH(T211,'Critérios e pesos'!$A$29:$A$32,0)))</f>
        <v/>
      </c>
    </row>
  </sheetData>
  <autoFilter ref="A4:AF211"/>
  <conditionalFormatting sqref="E5:M211">
    <cfRule type="expression" priority="1" dxfId="0">
      <formula>E5="Claro"</formula>
    </cfRule>
    <cfRule type="expression" priority="2" dxfId="3">
      <formula>E5="Em parte"</formula>
    </cfRule>
  </conditionalFormatting>
  <conditionalFormatting sqref="T5:T211">
    <cfRule type="expression" priority="3" dxfId="0">
      <formula>$T5="A"</formula>
    </cfRule>
    <cfRule type="expression" priority="4" dxfId="2">
      <formula>$T5="B"</formula>
    </cfRule>
    <cfRule type="expression" priority="5" dxfId="3">
      <formula>$T5="C"</formula>
    </cfRule>
    <cfRule type="expression" priority="6" dxfId="1">
      <formula>$T5="X"</formula>
    </cfRule>
  </conditionalFormatting>
  <conditionalFormatting sqref="AC5:AC211">
    <cfRule type="expression" priority="7" dxfId="0">
      <formula>$AC5="A"</formula>
    </cfRule>
    <cfRule type="expression" priority="8" dxfId="2">
      <formula>$AC5="B"</formula>
    </cfRule>
    <cfRule type="expression" priority="9" dxfId="3">
      <formula>$AC5="C"</formula>
    </cfRule>
    <cfRule type="expression" priority="10" dxfId="1">
      <formula>$AC5="X"</formula>
    </cfRule>
  </conditionalFormatting>
  <conditionalFormatting sqref="Y5:Y211">
    <cfRule type="expression" priority="11" dxfId="0">
      <formula>$Y5="No prazo"</formula>
    </cfRule>
    <cfRule type="expression" priority="12" dxfId="1">
      <formula>$Y5="Atrasado"</formula>
    </cfRule>
    <cfRule type="expression" priority="13" dxfId="3">
      <formula>$Y5="Em espera"</formula>
    </cfRule>
  </conditionalFormatting>
  <conditionalFormatting sqref="AD5:AD211">
    <cfRule type="expression" priority="14" dxfId="0">
      <formula>$AD5="Ganho"</formula>
    </cfRule>
    <cfRule type="expression" priority="15" dxfId="1">
      <formula>$AD5="Perdido"</formula>
    </cfRule>
  </conditionalFormatting>
  <dataValidations count="5">
    <dataValidation sqref="E5:M211" showDropDown="0" showInputMessage="0" showErrorMessage="1" allowBlank="1" type="list">
      <formula1>=$AL$5:$AL$7</formula1>
    </dataValidation>
    <dataValidation sqref="D5:D211" showDropDown="0" showInputMessage="0" showErrorMessage="0" allowBlank="1" type="list">
      <formula1>=$AM$5:$AM$9</formula1>
    </dataValidation>
    <dataValidation sqref="AD5:AD211" showDropDown="0" showInputMessage="0" showErrorMessage="1" allowBlank="1" type="list">
      <formula1>=$AN$5:$AN$6</formula1>
    </dataValidation>
    <dataValidation sqref="N5:N211" showDropDown="0" showInputMessage="0" showErrorMessage="1" allowBlank="1" type="list">
      <formula1>='Critérios e pesos'!$B$17:$B$20</formula1>
    </dataValidation>
    <dataValidation sqref="O5:O211" showDropDown="0" showInputMessage="0" showErrorMessage="1" allowBlank="1" type="list">
      <formula1>='Critérios e pesos'!$B$23:$B$26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16" customWidth="1" min="4" max="4"/>
    <col width="16" customWidth="1" min="5" max="5"/>
    <col width="12" customWidth="1" min="6" max="6"/>
    <col width="18" customWidth="1" min="7" max="7"/>
  </cols>
  <sheetData>
    <row r="1">
      <c r="A1" s="1" t="inlineStr">
        <is>
          <t>Calibração: a pontuação prevê as vendas?</t>
        </is>
      </c>
    </row>
    <row r="2">
      <c r="A2" s="2" t="inlineStr">
        <is>
          <t>Faça-a na primeira segunda-feira de cada mês. Marque os leads como Ganho ou Perdido em Pontuação dos leads quando fecharem. Aqui, a classe é a da primeira pontuação, antes da perda.</t>
        </is>
      </c>
    </row>
    <row r="4" ht="32" customHeight="1">
      <c r="A4" s="3" t="inlineStr">
        <is>
          <t>Classe</t>
        </is>
      </c>
      <c r="B4" s="3" t="inlineStr">
        <is>
          <t>Leads</t>
        </is>
      </c>
      <c r="C4" s="3" t="inlineStr">
        <is>
          <t>Ganhos</t>
        </is>
      </c>
      <c r="D4" s="3" t="inlineStr">
        <is>
          <t>Perdidos</t>
        </is>
      </c>
      <c r="E4" s="3" t="inlineStr">
        <is>
          <t>Em aberto</t>
        </is>
      </c>
      <c r="F4" s="3" t="inlineStr">
        <is>
          <t>Taxa de sucesso</t>
        </is>
      </c>
      <c r="G4" s="3" t="inlineStr">
        <is>
          <t>Respondidos no prazo</t>
        </is>
      </c>
    </row>
    <row r="5">
      <c r="A5" s="7" t="inlineStr">
        <is>
          <t>A</t>
        </is>
      </c>
      <c r="B5" s="14">
        <f>COUNTIF('Pontuação dos leads'!$T$5:$T$211,A5)</f>
        <v/>
      </c>
      <c r="C5" s="14">
        <f>COUNTIFS('Pontuação dos leads'!$T$5:$T$211,A5,'Pontuação dos leads'!$AD$5:$AD$211,"Ganho")</f>
        <v/>
      </c>
      <c r="D5" s="14">
        <f>COUNTIFS('Pontuação dos leads'!$T$5:$T$211,A5,'Pontuação dos leads'!$AD$5:$AD$211,"Perdido")</f>
        <v/>
      </c>
      <c r="E5" s="14">
        <f>B5-C5-D5</f>
        <v/>
      </c>
      <c r="F5" s="20">
        <f>IF(C5+D5=0,"",C5/(C5+D5))</f>
        <v/>
      </c>
      <c r="G5" s="21">
        <f>IF(COUNTIFS('Pontuação dos leads'!$T$5:$T$211,A5,'Pontuação dos leads'!$Y$5:$Y$211,"No prazo")+COUNTIFS('Pontuação dos leads'!$T$5:$T$211,A5,'Pontuação dos leads'!$Y$5:$Y$211,"Atrasado")=0,"",COUNTIFS('Pontuação dos leads'!$T$5:$T$211,A5,'Pontuação dos leads'!$Y$5:$Y$211,"No prazo")/(COUNTIFS('Pontuação dos leads'!$T$5:$T$211,A5,'Pontuação dos leads'!$Y$5:$Y$211,"No prazo")+COUNTIFS('Pontuação dos leads'!$T$5:$T$211,A5,'Pontuação dos leads'!$Y$5:$Y$211,"Atrasado")))</f>
        <v/>
      </c>
    </row>
    <row r="6">
      <c r="A6" s="7" t="inlineStr">
        <is>
          <t>B</t>
        </is>
      </c>
      <c r="B6" s="14">
        <f>COUNTIF('Pontuação dos leads'!$T$5:$T$211,A6)</f>
        <v/>
      </c>
      <c r="C6" s="14">
        <f>COUNTIFS('Pontuação dos leads'!$T$5:$T$211,A6,'Pontuação dos leads'!$AD$5:$AD$211,"Ganho")</f>
        <v/>
      </c>
      <c r="D6" s="14">
        <f>COUNTIFS('Pontuação dos leads'!$T$5:$T$211,A6,'Pontuação dos leads'!$AD$5:$AD$211,"Perdido")</f>
        <v/>
      </c>
      <c r="E6" s="14">
        <f>B6-C6-D6</f>
        <v/>
      </c>
      <c r="F6" s="20">
        <f>IF(C6+D6=0,"",C6/(C6+D6))</f>
        <v/>
      </c>
      <c r="G6" s="21">
        <f>IF(COUNTIFS('Pontuação dos leads'!$T$5:$T$211,A6,'Pontuação dos leads'!$Y$5:$Y$211,"No prazo")+COUNTIFS('Pontuação dos leads'!$T$5:$T$211,A6,'Pontuação dos leads'!$Y$5:$Y$211,"Atrasado")=0,"",COUNTIFS('Pontuação dos leads'!$T$5:$T$211,A6,'Pontuação dos leads'!$Y$5:$Y$211,"No prazo")/(COUNTIFS('Pontuação dos leads'!$T$5:$T$211,A6,'Pontuação dos leads'!$Y$5:$Y$211,"No prazo")+COUNTIFS('Pontuação dos leads'!$T$5:$T$211,A6,'Pontuação dos leads'!$Y$5:$Y$211,"Atrasado")))</f>
        <v/>
      </c>
    </row>
    <row r="7">
      <c r="A7" s="7" t="inlineStr">
        <is>
          <t>C</t>
        </is>
      </c>
      <c r="B7" s="14">
        <f>COUNTIF('Pontuação dos leads'!$T$5:$T$211,A7)</f>
        <v/>
      </c>
      <c r="C7" s="14">
        <f>COUNTIFS('Pontuação dos leads'!$T$5:$T$211,A7,'Pontuação dos leads'!$AD$5:$AD$211,"Ganho")</f>
        <v/>
      </c>
      <c r="D7" s="14">
        <f>COUNTIFS('Pontuação dos leads'!$T$5:$T$211,A7,'Pontuação dos leads'!$AD$5:$AD$211,"Perdido")</f>
        <v/>
      </c>
      <c r="E7" s="14">
        <f>B7-C7-D7</f>
        <v/>
      </c>
      <c r="F7" s="20">
        <f>IF(C7+D7=0,"",C7/(C7+D7))</f>
        <v/>
      </c>
      <c r="G7" s="21">
        <f>IF(COUNTIFS('Pontuação dos leads'!$T$5:$T$211,A7,'Pontuação dos leads'!$Y$5:$Y$211,"No prazo")+COUNTIFS('Pontuação dos leads'!$T$5:$T$211,A7,'Pontuação dos leads'!$Y$5:$Y$211,"Atrasado")=0,"",COUNTIFS('Pontuação dos leads'!$T$5:$T$211,A7,'Pontuação dos leads'!$Y$5:$Y$211,"No prazo")/(COUNTIFS('Pontuação dos leads'!$T$5:$T$211,A7,'Pontuação dos leads'!$Y$5:$Y$211,"No prazo")+COUNTIFS('Pontuação dos leads'!$T$5:$T$211,A7,'Pontuação dos leads'!$Y$5:$Y$211,"Atrasado")))</f>
        <v/>
      </c>
    </row>
    <row r="8">
      <c r="A8" s="7" t="inlineStr">
        <is>
          <t>X</t>
        </is>
      </c>
      <c r="B8" s="14">
        <f>COUNTIF('Pontuação dos leads'!$T$5:$T$211,A8)</f>
        <v/>
      </c>
      <c r="C8" s="14" t="n"/>
      <c r="D8" s="14" t="n"/>
      <c r="E8" s="14" t="n"/>
      <c r="F8" s="20" t="n"/>
      <c r="G8" s="21">
        <f>IF(COUNTIFS('Pontuação dos leads'!$T$5:$T$211,A8,'Pontuação dos leads'!$Y$5:$Y$211,"No prazo")+COUNTIFS('Pontuação dos leads'!$T$5:$T$211,A8,'Pontuação dos leads'!$Y$5:$Y$211,"Atrasado")=0,"",COUNTIFS('Pontuação dos leads'!$T$5:$T$211,A8,'Pontuação dos leads'!$Y$5:$Y$211,"No prazo")/(COUNTIFS('Pontuação dos leads'!$T$5:$T$211,A8,'Pontuação dos leads'!$Y$5:$Y$211,"No prazo")+COUNTIFS('Pontuação dos leads'!$T$5:$T$211,A8,'Pontuação dos leads'!$Y$5:$Y$211,"Atrasado")))</f>
        <v/>
      </c>
    </row>
    <row r="10">
      <c r="A10" s="22" t="inlineStr">
        <is>
          <t>Verificação do modelo</t>
        </is>
      </c>
    </row>
    <row r="11">
      <c r="A11" s="6" t="inlineStr">
        <is>
          <t>Leads fechados (ganhos ou perdidos)</t>
        </is>
      </c>
      <c r="B11" s="23" t="n"/>
      <c r="C11" s="23" t="n"/>
      <c r="D11" s="24" t="n"/>
      <c r="E11" s="25">
        <f>SUM(C5:D7)</f>
        <v/>
      </c>
      <c r="F11" s="24" t="n"/>
    </row>
    <row r="12">
      <c r="A12" s="6" t="inlineStr">
        <is>
          <t>Leads fechados necessários</t>
        </is>
      </c>
      <c r="B12" s="23" t="n"/>
      <c r="C12" s="23" t="n"/>
      <c r="D12" s="24" t="n"/>
      <c r="E12" s="25">
        <f>'Critérios e pesos'!$C$39</f>
        <v/>
      </c>
      <c r="F12" s="24" t="n"/>
    </row>
    <row r="13">
      <c r="A13" s="5" t="inlineStr">
        <is>
          <t>A ganha mais vezes do que B, e B mais do que C</t>
        </is>
      </c>
      <c r="B13" s="23" t="n"/>
      <c r="C13" s="23" t="n"/>
      <c r="D13" s="24" t="n"/>
      <c r="E13" s="25">
        <f>IF(E11&lt;E12,"Dados insuficientes",IF(AND(F5&gt;F6,F6&gt;F7),"A pontuação prevê vendas","Recalibrar"))</f>
        <v/>
      </c>
      <c r="F13" s="24" t="n"/>
    </row>
    <row r="15">
      <c r="A15" s="22" t="inlineStr">
        <is>
          <t>Verificação dos critérios</t>
        </is>
      </c>
    </row>
    <row r="16" ht="44" customHeight="1">
      <c r="A16" s="3" t="inlineStr">
        <is>
          <t>#</t>
        </is>
      </c>
      <c r="B16" s="3" t="inlineStr">
        <is>
          <t>Critério</t>
        </is>
      </c>
      <c r="C16" s="3" t="inlineStr">
        <is>
          <t>Peso</t>
        </is>
      </c>
      <c r="D16" s="3" t="inlineStr">
        <is>
          <t>Leads ganhos: % dos pontos</t>
        </is>
      </c>
      <c r="E16" s="3" t="inlineStr">
        <is>
          <t>Leads perdidos: % dos pontos</t>
        </is>
      </c>
      <c r="F16" s="3" t="inlineStr">
        <is>
          <t>Diferença</t>
        </is>
      </c>
      <c r="G16" s="3" t="inlineStr">
        <is>
          <t>Sugestão</t>
        </is>
      </c>
    </row>
    <row r="17">
      <c r="A17" s="4" t="n">
        <v>1</v>
      </c>
      <c r="B17" s="8">
        <f>'Critérios e pesos'!B5</f>
        <v/>
      </c>
      <c r="C17" s="14">
        <f>'Critérios e pesos'!$G$5</f>
        <v/>
      </c>
      <c r="D17" s="21">
        <f>IF(COUNTIF('Pontuação dos leads'!$AD$5:$AD$211,"Ganho")=0,"",(COUNTIFS('Pontuação dos leads'!$E$5:$E$211,"Claro",'Pontuação dos leads'!$AD$5:$AD$211,"Ganho")+COUNTIFS('Pontuação dos leads'!$E$5:$E$211,"Em parte",'Pontuação dos leads'!$AD$5:$AD$211,"Ganho")/2)/COUNTIF('Pontuação dos leads'!$AD$5:$AD$211,"Ganho"))</f>
        <v/>
      </c>
      <c r="E17" s="21">
        <f>IF(COUNTIF('Pontuação dos leads'!$AD$5:$AD$211,"Perdido")=0,"",(COUNTIFS('Pontuação dos leads'!$E$5:$E$211,"Claro",'Pontuação dos leads'!$AD$5:$AD$211,"Perdido")+COUNTIFS('Pontuação dos leads'!$E$5:$E$211,"Em parte",'Pontuação dos leads'!$AD$5:$AD$211,"Perdido")/2)/COUNTIF('Pontuação dos leads'!$AD$5:$AD$211,"Perdido"))</f>
        <v/>
      </c>
      <c r="F17" s="20">
        <f>IF(OR(D17="",E17=""),"",D17-E17)</f>
        <v/>
      </c>
      <c r="G17" s="9">
        <f>IF(OR(F17="",$E$11&lt;$E$12),"Dados insuficientes",IF(F17&gt;='Critérios e pesos'!$C$40,"Subir peso",IF(F17&lt;'Critérios e pesos'!$C$41,"Baixar peso","Manter")))</f>
        <v/>
      </c>
    </row>
    <row r="18">
      <c r="A18" s="4" t="n">
        <v>2</v>
      </c>
      <c r="B18" s="8">
        <f>'Critérios e pesos'!B6</f>
        <v/>
      </c>
      <c r="C18" s="14">
        <f>'Critérios e pesos'!$G$6</f>
        <v/>
      </c>
      <c r="D18" s="21">
        <f>IF(COUNTIF('Pontuação dos leads'!$AD$5:$AD$211,"Ganho")=0,"",(COUNTIFS('Pontuação dos leads'!$F$5:$F$211,"Claro",'Pontuação dos leads'!$AD$5:$AD$211,"Ganho")+COUNTIFS('Pontuação dos leads'!$F$5:$F$211,"Em parte",'Pontuação dos leads'!$AD$5:$AD$211,"Ganho")/2)/COUNTIF('Pontuação dos leads'!$AD$5:$AD$211,"Ganho"))</f>
        <v/>
      </c>
      <c r="E18" s="21">
        <f>IF(COUNTIF('Pontuação dos leads'!$AD$5:$AD$211,"Perdido")=0,"",(COUNTIFS('Pontuação dos leads'!$F$5:$F$211,"Claro",'Pontuação dos leads'!$AD$5:$AD$211,"Perdido")+COUNTIFS('Pontuação dos leads'!$F$5:$F$211,"Em parte",'Pontuação dos leads'!$AD$5:$AD$211,"Perdido")/2)/COUNTIF('Pontuação dos leads'!$AD$5:$AD$211,"Perdido"))</f>
        <v/>
      </c>
      <c r="F18" s="20">
        <f>IF(OR(D18="",E18=""),"",D18-E18)</f>
        <v/>
      </c>
      <c r="G18" s="9">
        <f>IF(OR(F18="",$E$11&lt;$E$12),"Dados insuficientes",IF(F18&gt;='Critérios e pesos'!$C$40,"Subir peso",IF(F18&lt;'Critérios e pesos'!$C$41,"Baixar peso","Manter")))</f>
        <v/>
      </c>
    </row>
    <row r="19">
      <c r="A19" s="4" t="n">
        <v>3</v>
      </c>
      <c r="B19" s="8">
        <f>'Critérios e pesos'!B7</f>
        <v/>
      </c>
      <c r="C19" s="14">
        <f>'Critérios e pesos'!$G$7</f>
        <v/>
      </c>
      <c r="D19" s="21">
        <f>IF(COUNTIF('Pontuação dos leads'!$AD$5:$AD$211,"Ganho")=0,"",(COUNTIFS('Pontuação dos leads'!$G$5:$G$211,"Claro",'Pontuação dos leads'!$AD$5:$AD$211,"Ganho")+COUNTIFS('Pontuação dos leads'!$G$5:$G$211,"Em parte",'Pontuação dos leads'!$AD$5:$AD$211,"Ganho")/2)/COUNTIF('Pontuação dos leads'!$AD$5:$AD$211,"Ganho"))</f>
        <v/>
      </c>
      <c r="E19" s="21">
        <f>IF(COUNTIF('Pontuação dos leads'!$AD$5:$AD$211,"Perdido")=0,"",(COUNTIFS('Pontuação dos leads'!$G$5:$G$211,"Claro",'Pontuação dos leads'!$AD$5:$AD$211,"Perdido")+COUNTIFS('Pontuação dos leads'!$G$5:$G$211,"Em parte",'Pontuação dos leads'!$AD$5:$AD$211,"Perdido")/2)/COUNTIF('Pontuação dos leads'!$AD$5:$AD$211,"Perdido"))</f>
        <v/>
      </c>
      <c r="F19" s="20">
        <f>IF(OR(D19="",E19=""),"",D19-E19)</f>
        <v/>
      </c>
      <c r="G19" s="9">
        <f>IF(OR(F19="",$E$11&lt;$E$12),"Dados insuficientes",IF(F19&gt;='Critérios e pesos'!$C$40,"Subir peso",IF(F19&lt;'Critérios e pesos'!$C$41,"Baixar peso","Manter")))</f>
        <v/>
      </c>
    </row>
    <row r="20">
      <c r="A20" s="4" t="n">
        <v>4</v>
      </c>
      <c r="B20" s="8">
        <f>'Critérios e pesos'!B8</f>
        <v/>
      </c>
      <c r="C20" s="14">
        <f>'Critérios e pesos'!$G$8</f>
        <v/>
      </c>
      <c r="D20" s="21">
        <f>IF(COUNTIF('Pontuação dos leads'!$AD$5:$AD$211,"Ganho")=0,"",(COUNTIFS('Pontuação dos leads'!$H$5:$H$211,"Claro",'Pontuação dos leads'!$AD$5:$AD$211,"Ganho")+COUNTIFS('Pontuação dos leads'!$H$5:$H$211,"Em parte",'Pontuação dos leads'!$AD$5:$AD$211,"Ganho")/2)/COUNTIF('Pontuação dos leads'!$AD$5:$AD$211,"Ganho"))</f>
        <v/>
      </c>
      <c r="E20" s="21">
        <f>IF(COUNTIF('Pontuação dos leads'!$AD$5:$AD$211,"Perdido")=0,"",(COUNTIFS('Pontuação dos leads'!$H$5:$H$211,"Claro",'Pontuação dos leads'!$AD$5:$AD$211,"Perdido")+COUNTIFS('Pontuação dos leads'!$H$5:$H$211,"Em parte",'Pontuação dos leads'!$AD$5:$AD$211,"Perdido")/2)/COUNTIF('Pontuação dos leads'!$AD$5:$AD$211,"Perdido"))</f>
        <v/>
      </c>
      <c r="F20" s="20">
        <f>IF(OR(D20="",E20=""),"",D20-E20)</f>
        <v/>
      </c>
      <c r="G20" s="9">
        <f>IF(OR(F20="",$E$11&lt;$E$12),"Dados insuficientes",IF(F20&gt;='Critérios e pesos'!$C$40,"Subir peso",IF(F20&lt;'Critérios e pesos'!$C$41,"Baixar peso","Manter")))</f>
        <v/>
      </c>
    </row>
    <row r="21">
      <c r="A21" s="4" t="n">
        <v>5</v>
      </c>
      <c r="B21" s="8">
        <f>'Critérios e pesos'!B9</f>
        <v/>
      </c>
      <c r="C21" s="14">
        <f>'Critérios e pesos'!$G$9</f>
        <v/>
      </c>
      <c r="D21" s="21">
        <f>IF(COUNTIF('Pontuação dos leads'!$AD$5:$AD$211,"Ganho")=0,"",(COUNTIFS('Pontuação dos leads'!$I$5:$I$211,"Claro",'Pontuação dos leads'!$AD$5:$AD$211,"Ganho")+COUNTIFS('Pontuação dos leads'!$I$5:$I$211,"Em parte",'Pontuação dos leads'!$AD$5:$AD$211,"Ganho")/2)/COUNTIF('Pontuação dos leads'!$AD$5:$AD$211,"Ganho"))</f>
        <v/>
      </c>
      <c r="E21" s="21">
        <f>IF(COUNTIF('Pontuação dos leads'!$AD$5:$AD$211,"Perdido")=0,"",(COUNTIFS('Pontuação dos leads'!$I$5:$I$211,"Claro",'Pontuação dos leads'!$AD$5:$AD$211,"Perdido")+COUNTIFS('Pontuação dos leads'!$I$5:$I$211,"Em parte",'Pontuação dos leads'!$AD$5:$AD$211,"Perdido")/2)/COUNTIF('Pontuação dos leads'!$AD$5:$AD$211,"Perdido"))</f>
        <v/>
      </c>
      <c r="F21" s="20">
        <f>IF(OR(D21="",E21=""),"",D21-E21)</f>
        <v/>
      </c>
      <c r="G21" s="9">
        <f>IF(OR(F21="",$E$11&lt;$E$12),"Dados insuficientes",IF(F21&gt;='Critérios e pesos'!$C$40,"Subir peso",IF(F21&lt;'Critérios e pesos'!$C$41,"Baixar peso","Manter")))</f>
        <v/>
      </c>
    </row>
    <row r="22">
      <c r="A22" s="4" t="n">
        <v>6</v>
      </c>
      <c r="B22" s="8">
        <f>'Critérios e pesos'!B10</f>
        <v/>
      </c>
      <c r="C22" s="14">
        <f>'Critérios e pesos'!$G$10</f>
        <v/>
      </c>
      <c r="D22" s="21">
        <f>IF(COUNTIF('Pontuação dos leads'!$AD$5:$AD$211,"Ganho")=0,"",(COUNTIFS('Pontuação dos leads'!$J$5:$J$211,"Claro",'Pontuação dos leads'!$AD$5:$AD$211,"Ganho")+COUNTIFS('Pontuação dos leads'!$J$5:$J$211,"Em parte",'Pontuação dos leads'!$AD$5:$AD$211,"Ganho")/2)/COUNTIF('Pontuação dos leads'!$AD$5:$AD$211,"Ganho"))</f>
        <v/>
      </c>
      <c r="E22" s="21">
        <f>IF(COUNTIF('Pontuação dos leads'!$AD$5:$AD$211,"Perdido")=0,"",(COUNTIFS('Pontuação dos leads'!$J$5:$J$211,"Claro",'Pontuação dos leads'!$AD$5:$AD$211,"Perdido")+COUNTIFS('Pontuação dos leads'!$J$5:$J$211,"Em parte",'Pontuação dos leads'!$AD$5:$AD$211,"Perdido")/2)/COUNTIF('Pontuação dos leads'!$AD$5:$AD$211,"Perdido"))</f>
        <v/>
      </c>
      <c r="F22" s="20">
        <f>IF(OR(D22="",E22=""),"",D22-E22)</f>
        <v/>
      </c>
      <c r="G22" s="9">
        <f>IF(OR(F22="",$E$11&lt;$E$12),"Dados insuficientes",IF(F22&gt;='Critérios e pesos'!$C$40,"Subir peso",IF(F22&lt;'Critérios e pesos'!$C$41,"Baixar peso","Manter")))</f>
        <v/>
      </c>
    </row>
    <row r="23">
      <c r="A23" s="4" t="n">
        <v>7</v>
      </c>
      <c r="B23" s="8">
        <f>'Critérios e pesos'!B11</f>
        <v/>
      </c>
      <c r="C23" s="14">
        <f>'Critérios e pesos'!$G$11</f>
        <v/>
      </c>
      <c r="D23" s="21">
        <f>IF(COUNTIF('Pontuação dos leads'!$AD$5:$AD$211,"Ganho")=0,"",(COUNTIFS('Pontuação dos leads'!$K$5:$K$211,"Claro",'Pontuação dos leads'!$AD$5:$AD$211,"Ganho")+COUNTIFS('Pontuação dos leads'!$K$5:$K$211,"Em parte",'Pontuação dos leads'!$AD$5:$AD$211,"Ganho")/2)/COUNTIF('Pontuação dos leads'!$AD$5:$AD$211,"Ganho"))</f>
        <v/>
      </c>
      <c r="E23" s="21">
        <f>IF(COUNTIF('Pontuação dos leads'!$AD$5:$AD$211,"Perdido")=0,"",(COUNTIFS('Pontuação dos leads'!$K$5:$K$211,"Claro",'Pontuação dos leads'!$AD$5:$AD$211,"Perdido")+COUNTIFS('Pontuação dos leads'!$K$5:$K$211,"Em parte",'Pontuação dos leads'!$AD$5:$AD$211,"Perdido")/2)/COUNTIF('Pontuação dos leads'!$AD$5:$AD$211,"Perdido"))</f>
        <v/>
      </c>
      <c r="F23" s="20">
        <f>IF(OR(D23="",E23=""),"",D23-E23)</f>
        <v/>
      </c>
      <c r="G23" s="9">
        <f>IF(OR(F23="",$E$11&lt;$E$12),"Dados insuficientes",IF(F23&gt;='Critérios e pesos'!$C$40,"Subir peso",IF(F23&lt;'Critérios e pesos'!$C$41,"Baixar peso","Manter")))</f>
        <v/>
      </c>
    </row>
    <row r="24">
      <c r="A24" s="4" t="n">
        <v>8</v>
      </c>
      <c r="B24" s="8">
        <f>'Critérios e pesos'!B12</f>
        <v/>
      </c>
      <c r="C24" s="14">
        <f>'Critérios e pesos'!$G$12</f>
        <v/>
      </c>
      <c r="D24" s="21">
        <f>IF(COUNTIF('Pontuação dos leads'!$AD$5:$AD$211,"Ganho")=0,"",(COUNTIFS('Pontuação dos leads'!$L$5:$L$211,"Claro",'Pontuação dos leads'!$AD$5:$AD$211,"Ganho")+COUNTIFS('Pontuação dos leads'!$L$5:$L$211,"Em parte",'Pontuação dos leads'!$AD$5:$AD$211,"Ganho")/2)/COUNTIF('Pontuação dos leads'!$AD$5:$AD$211,"Ganho"))</f>
        <v/>
      </c>
      <c r="E24" s="21">
        <f>IF(COUNTIF('Pontuação dos leads'!$AD$5:$AD$211,"Perdido")=0,"",(COUNTIFS('Pontuação dos leads'!$L$5:$L$211,"Claro",'Pontuação dos leads'!$AD$5:$AD$211,"Perdido")+COUNTIFS('Pontuação dos leads'!$L$5:$L$211,"Em parte",'Pontuação dos leads'!$AD$5:$AD$211,"Perdido")/2)/COUNTIF('Pontuação dos leads'!$AD$5:$AD$211,"Perdido"))</f>
        <v/>
      </c>
      <c r="F24" s="20">
        <f>IF(OR(D24="",E24=""),"",D24-E24)</f>
        <v/>
      </c>
      <c r="G24" s="9">
        <f>IF(OR(F24="",$E$11&lt;$E$12),"Dados insuficientes",IF(F24&gt;='Critérios e pesos'!$C$40,"Subir peso",IF(F24&lt;'Critérios e pesos'!$C$41,"Baixar peso","Manter")))</f>
        <v/>
      </c>
    </row>
    <row r="25">
      <c r="A25" s="4" t="n">
        <v>9</v>
      </c>
      <c r="B25" s="8">
        <f>'Critérios e pesos'!B13</f>
        <v/>
      </c>
      <c r="C25" s="14">
        <f>'Critérios e pesos'!$G$13</f>
        <v/>
      </c>
      <c r="D25" s="21">
        <f>IF(COUNTIF('Pontuação dos leads'!$AD$5:$AD$211,"Ganho")=0,"",(COUNTIFS('Pontuação dos leads'!$M$5:$M$211,"Claro",'Pontuação dos leads'!$AD$5:$AD$211,"Ganho")+COUNTIFS('Pontuação dos leads'!$M$5:$M$211,"Em parte",'Pontuação dos leads'!$AD$5:$AD$211,"Ganho")/2)/COUNTIF('Pontuação dos leads'!$AD$5:$AD$211,"Ganho"))</f>
        <v/>
      </c>
      <c r="E25" s="21">
        <f>IF(COUNTIF('Pontuação dos leads'!$AD$5:$AD$211,"Perdido")=0,"",(COUNTIFS('Pontuação dos leads'!$M$5:$M$211,"Claro",'Pontuação dos leads'!$AD$5:$AD$211,"Perdido")+COUNTIFS('Pontuação dos leads'!$M$5:$M$211,"Em parte",'Pontuação dos leads'!$AD$5:$AD$211,"Perdido")/2)/COUNTIF('Pontuação dos leads'!$AD$5:$AD$211,"Perdido"))</f>
        <v/>
      </c>
      <c r="F25" s="20">
        <f>IF(OR(D25="",E25=""),"",D25-E25)</f>
        <v/>
      </c>
      <c r="G25" s="9">
        <f>IF(OR(F25="",$E$11&lt;$E$12),"Dados insuficientes",IF(F25&gt;='Critérios e pesos'!$C$40,"Subir peso",IF(F25&lt;'Critérios e pesos'!$C$41,"Baixar peso","Manter")))</f>
        <v/>
      </c>
    </row>
    <row r="27">
      <c r="A27" s="2" t="inlineStr">
        <is>
          <t>Mude no máximo 2 pesos por mês, até 5 pontos cada, e mantenha o total em 100.</t>
        </is>
      </c>
    </row>
    <row r="28">
      <c r="A28" s="2" t="inlineStr">
        <is>
          <t>Uma diferença inferior a 10 pontos significa que o critério não distingue os leads ganhos dos perdidos: baixe-o ou transforme-o num critério eliminatório.</t>
        </is>
      </c>
    </row>
    <row r="29">
      <c r="A29" s="2" t="inlineStr">
        <is>
          <t>Registe a data e a alteração e volte a comparar no mês seguinte.</t>
        </is>
      </c>
    </row>
    <row r="30">
      <c r="A30" s="26" t="inlineStr">
        <is>
          <t>Modelo grátis da CRMsoftware.pro. Dados de exemplo fictícios.</t>
        </is>
      </c>
    </row>
  </sheetData>
  <mergeCells count="6">
    <mergeCell ref="E12:F12"/>
    <mergeCell ref="A12:D12"/>
    <mergeCell ref="E11:F11"/>
    <mergeCell ref="E13:F13"/>
    <mergeCell ref="A11:D11"/>
    <mergeCell ref="A13:D13"/>
  </mergeCells>
  <conditionalFormatting sqref="A5:A8">
    <cfRule type="expression" priority="1" dxfId="0">
      <formula>$A5="A"</formula>
    </cfRule>
    <cfRule type="expression" priority="2" dxfId="2">
      <formula>$A5="B"</formula>
    </cfRule>
    <cfRule type="expression" priority="3" dxfId="3">
      <formula>$A5="C"</formula>
    </cfRule>
    <cfRule type="expression" priority="4" dxfId="1">
      <formula>$A5="X"</formula>
    </cfRule>
  </conditionalFormatting>
  <conditionalFormatting sqref="E13">
    <cfRule type="expression" priority="5" dxfId="0">
      <formula>$E13="A pontuação prevê vendas"</formula>
    </cfRule>
    <cfRule type="expression" priority="6" dxfId="1">
      <formula>$E13="Recalibrar"</formula>
    </cfRule>
    <cfRule type="expression" priority="7" dxfId="3">
      <formula>$E13="Dados insuficientes"</formula>
    </cfRule>
  </conditionalFormatting>
  <conditionalFormatting sqref="G17:G25">
    <cfRule type="expression" priority="8" dxfId="0">
      <formula>$G17="Subir peso"</formula>
    </cfRule>
    <cfRule type="expression" priority="9" dxfId="1">
      <formula>$G17="Baixar peso"</formula>
    </cfRule>
    <cfRule type="expression" priority="10" dxfId="3">
      <formula>$G17="Dados insuficientes"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Modelo de lead scoring: critérios e pesos</dc:title>
  <dcterms:created xmlns:dcterms="http://purl.org/dc/terms/" xmlns:xsi="http://www.w3.org/2001/XMLSchema-instance" xsi:type="dcterms:W3CDTF">2026-10-08T17:59:20Z</dcterms:created>
  <dcterms:modified xmlns:dcterms="http://purl.org/dc/terms/" xmlns:xsi="http://www.w3.org/2001/XMLSchema-instance" xsi:type="dcterms:W3CDTF">2026-10-08T17:59:21Z</dcterms:modified>
</cp:coreProperties>
</file>